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20000001_{354D5ED3-B8A0-40D6-9591-F1CD9DC23DD8}" xr6:coauthVersionLast="47" xr6:coauthVersionMax="47" xr10:uidLastSave="{00000000-0000-0000-0000-000000000000}"/>
  <bookViews>
    <workbookView xWindow="-120" yWindow="-120" windowWidth="29040" windowHeight="15720" xr2:uid="{A2A9271C-CC0E-4AC3-9C09-89BF9505722C}"/>
  </bookViews>
  <sheets>
    <sheet name="Informace" sheetId="10" r:id="rId1"/>
    <sheet name="Výpočet" sheetId="1" r:id="rId2"/>
    <sheet name="Ceník" sheetId="2" state="hidden" r:id="rId3"/>
    <sheet name="Pomocné" sheetId="11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N29" i="1"/>
  <c r="M29" i="1"/>
  <c r="L29" i="1"/>
  <c r="K29" i="1"/>
  <c r="J29" i="1"/>
  <c r="I29" i="1"/>
  <c r="H29" i="1"/>
  <c r="G29" i="1"/>
  <c r="F29" i="1"/>
  <c r="E29" i="1"/>
  <c r="D29" i="1"/>
  <c r="D53" i="1"/>
  <c r="D40" i="1"/>
  <c r="D41" i="1"/>
  <c r="D42" i="1"/>
  <c r="D47" i="1"/>
  <c r="E40" i="1"/>
  <c r="E41" i="1"/>
  <c r="E42" i="1"/>
  <c r="E47" i="1"/>
  <c r="F40" i="1"/>
  <c r="F41" i="1"/>
  <c r="F42" i="1"/>
  <c r="F47" i="1"/>
  <c r="G40" i="1"/>
  <c r="G41" i="1"/>
  <c r="G42" i="1"/>
  <c r="G47" i="1"/>
  <c r="H40" i="1"/>
  <c r="H41" i="1"/>
  <c r="H42" i="1"/>
  <c r="H47" i="1"/>
  <c r="I40" i="1"/>
  <c r="I41" i="1"/>
  <c r="I42" i="1"/>
  <c r="I47" i="1"/>
  <c r="J40" i="1"/>
  <c r="J41" i="1"/>
  <c r="J42" i="1"/>
  <c r="J47" i="1"/>
  <c r="K40" i="1"/>
  <c r="K41" i="1"/>
  <c r="K42" i="1"/>
  <c r="K47" i="1"/>
  <c r="L40" i="1"/>
  <c r="L41" i="1"/>
  <c r="L42" i="1"/>
  <c r="L47" i="1"/>
  <c r="M40" i="1"/>
  <c r="M41" i="1"/>
  <c r="M42" i="1"/>
  <c r="M47" i="1"/>
  <c r="N40" i="1"/>
  <c r="N41" i="1"/>
  <c r="N42" i="1"/>
  <c r="N47" i="1"/>
  <c r="O40" i="1"/>
  <c r="O41" i="1"/>
  <c r="O42" i="1"/>
  <c r="O47" i="1"/>
  <c r="D48" i="1"/>
  <c r="D55" i="1"/>
  <c r="D54" i="1"/>
  <c r="D37" i="1"/>
  <c r="E37" i="1"/>
  <c r="F37" i="1"/>
  <c r="G37" i="1"/>
  <c r="H37" i="1"/>
  <c r="I37" i="1"/>
  <c r="J37" i="1"/>
  <c r="K37" i="1"/>
  <c r="L37" i="1"/>
  <c r="M37" i="1"/>
  <c r="N37" i="1"/>
  <c r="O37" i="1"/>
  <c r="D43" i="1"/>
  <c r="D52" i="1"/>
  <c r="E48" i="1"/>
  <c r="E30" i="1"/>
  <c r="O38" i="1"/>
  <c r="N38" i="1"/>
  <c r="M38" i="1"/>
  <c r="L38" i="1"/>
  <c r="K38" i="1"/>
  <c r="J38" i="1"/>
  <c r="I38" i="1"/>
  <c r="H38" i="1"/>
  <c r="G38" i="1"/>
  <c r="F38" i="1"/>
  <c r="E38" i="1"/>
  <c r="D38" i="1"/>
  <c r="A4" i="2"/>
  <c r="A5" i="2"/>
  <c r="D23" i="1"/>
  <c r="D24" i="1"/>
  <c r="D25" i="1"/>
  <c r="D30" i="1"/>
  <c r="D12" i="1"/>
  <c r="T29" i="1"/>
  <c r="A20" i="2"/>
  <c r="A21" i="2"/>
  <c r="D50" i="1"/>
  <c r="D61" i="1"/>
  <c r="D64" i="1"/>
  <c r="T63" i="1"/>
  <c r="T64" i="1"/>
  <c r="T30" i="1"/>
  <c r="E7" i="1"/>
  <c r="A12" i="2"/>
  <c r="A13" i="2"/>
  <c r="A28" i="2"/>
  <c r="A29" i="2"/>
  <c r="A27" i="2"/>
  <c r="A26" i="2"/>
  <c r="A25" i="2"/>
  <c r="A24" i="2"/>
  <c r="A23" i="2"/>
  <c r="A22" i="2"/>
  <c r="A11" i="2"/>
  <c r="A10" i="2"/>
  <c r="A9" i="2"/>
  <c r="A8" i="2"/>
  <c r="A7" i="2"/>
  <c r="A6" i="2"/>
  <c r="O50" i="1"/>
  <c r="N50" i="1"/>
  <c r="H50" i="1"/>
  <c r="G50" i="1"/>
  <c r="J50" i="1"/>
  <c r="L50" i="1"/>
  <c r="E50" i="1"/>
  <c r="I50" i="1"/>
  <c r="K50" i="1"/>
  <c r="M50" i="1"/>
  <c r="F50" i="1"/>
  <c r="T47" i="1"/>
  <c r="T48" i="1"/>
  <c r="T50" i="1"/>
  <c r="E64" i="1"/>
</calcChain>
</file>

<file path=xl/sharedStrings.xml><?xml version="1.0" encoding="utf-8"?>
<sst xmlns="http://schemas.openxmlformats.org/spreadsheetml/2006/main" count="177" uniqueCount="75">
  <si>
    <t>Ceny</t>
  </si>
  <si>
    <t>Upozornění:</t>
  </si>
  <si>
    <t>Verze:</t>
  </si>
  <si>
    <t>Distribuční území</t>
  </si>
  <si>
    <t>ČEZ Distribuce, a. s.</t>
  </si>
  <si>
    <t>PREdistribuce, a.s.</t>
  </si>
  <si>
    <t>Napěťová hladina</t>
  </si>
  <si>
    <t>Sjednaná hodnota roční rezervované kapacity [MW]</t>
  </si>
  <si>
    <t>Sjednaná hodnota měsíční rezervované kapacity [MW]</t>
  </si>
  <si>
    <t>Měsíční cena za roční rezervovanou kapacitu [Kč/MW/měsíc]</t>
  </si>
  <si>
    <t>Měsíční cena za měsíční rezervovanou kapacitu [Kč/MW/měsíc]</t>
  </si>
  <si>
    <t>Cena za použití sítí [Kč/MWh]</t>
  </si>
  <si>
    <t>Údaje o předávacím místě zákazníka</t>
  </si>
  <si>
    <t>Orientační kalkulace ceny zajišťování distribuce elektřiny pro zákazníka připojeného na hladině VVN nebo VN</t>
  </si>
  <si>
    <t>VVN</t>
  </si>
  <si>
    <t>VN</t>
  </si>
  <si>
    <t>Měsíční cena za roční rezervovanou kapacitu v Kč/MW a měsíc</t>
  </si>
  <si>
    <t>Měsíční cena za měsíční rezervovanou kapacitu v Kč/MW a měsíc</t>
  </si>
  <si>
    <t>UCED Chomutov s.r.o.</t>
  </si>
  <si>
    <t>SV servisní, s.r.o.</t>
  </si>
  <si>
    <t>Cena za použití sítí VVN a VN v Kč/MWh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</si>
  <si>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</si>
  <si>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</si>
  <si>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</si>
  <si>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</si>
  <si>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</si>
  <si>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</si>
  <si>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</si>
  <si>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</si>
  <si>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</si>
  <si>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</si>
  <si>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</si>
  <si>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</si>
  <si>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Předpokládaná roční platba bez DPH [Kč]</t>
  </si>
  <si>
    <t>Rezervovaný příkon předávacího místa [MW]</t>
  </si>
  <si>
    <t>Maximální naměřený odebraný výkon předávacího místa [MW]</t>
  </si>
  <si>
    <t>Měsíční cena za rezervovaný příkon [Kč/MW/měsíc]</t>
  </si>
  <si>
    <t>Měsíční cena za maximální odebraný výkon [Kč/MW/měsíc]</t>
  </si>
  <si>
    <t>Automaticky volený tarif z cenového rozhodnutí</t>
  </si>
  <si>
    <t>Provozovatel distribuční soustavy</t>
  </si>
  <si>
    <t>Měsíční cena za rezervovaný  příkon v tarifu T1 v Kč/MW/měsíc</t>
  </si>
  <si>
    <t>Měsíční cena za rezervovaný  příkon v tarifu T2 v Kč/MW/měsíc</t>
  </si>
  <si>
    <t>Měsíční cena za maximální odebraný výkon v tarifu T1 v Kč/MW/měsíc</t>
  </si>
  <si>
    <t>Měsíční cena za maximální odebraný výkon v tarifu T2 v Kč/MW/měsíc</t>
  </si>
  <si>
    <t>1. Dosavadní struktura ceny zajišťování distribuce elektřiny (platba dle rezervace kapacity)</t>
  </si>
  <si>
    <t>2. Nová struktura ceny zajišťování distribuce elektřiny (platba dle rezervovaného příkonu a maximálního odebraného výkonu)</t>
  </si>
  <si>
    <t>3. Alternativní varianta sjednání jednosložkové ceny za službu sítí (pro příležitostné špičkové odběry)</t>
  </si>
  <si>
    <t>Odběr elektřiny (za celý rok) [MWh]</t>
  </si>
  <si>
    <t>Struktura ceny - cena za rezervovanou kapacitu</t>
  </si>
  <si>
    <t>Struktura ceny - cena za rezervovaný příkon a maximální odebraný výkon</t>
  </si>
  <si>
    <t>Dopady nové struktury po jednotlivých měsících bez DPH [Kč]</t>
  </si>
  <si>
    <t>Jednosložková cena za službu sítí v Kč/MWh</t>
  </si>
  <si>
    <t>Jednosložková cena za službu sítí u nové struktury cen [Kč/MWh]</t>
  </si>
  <si>
    <t>Odběr elektřiny [MWh]</t>
  </si>
  <si>
    <t>Předpokládaná měsíční platba bez DPH [Kč]</t>
  </si>
  <si>
    <t>EG.D, s.r.o.</t>
  </si>
  <si>
    <r>
      <t xml:space="preserve">Použité ceny vycházejí z cenového výměru pro rok 2026 a ze simulace odpovídajících cen pro rok 2026 podle nového způsobu zpoplatnění. </t>
    </r>
    <r>
      <rPr>
        <b/>
        <i/>
        <sz val="10"/>
        <color theme="1"/>
        <rFont val="Arial"/>
        <family val="2"/>
        <charset val="238"/>
        <scheme val="minor"/>
      </rPr>
      <t>Jde proto pouze o orientační vyčíslení dopadů změny tarifikace a skutečné dopady po 1. lednu 2027 budou záviset na hodnotách jednotlivých cen stanovených cenovým výměrem na konci listopadu 2026.</t>
    </r>
  </si>
  <si>
    <t>Výsledná platba</t>
  </si>
  <si>
    <r>
      <t xml:space="preserve">Kalkulace slouží k ověření konkrétního dopadu změny struktury ceny zajišťování distribuce elektřiny na zákazníka na napěťové hladině VVN nebo VN v návaznosti na připravovanou změnu tarifikace od 1. ledna 2027. </t>
    </r>
    <r>
      <rPr>
        <b/>
        <i/>
        <sz val="10"/>
        <color theme="1"/>
        <rFont val="Arial"/>
        <family val="2"/>
        <charset val="238"/>
        <scheme val="minor"/>
      </rPr>
      <t xml:space="preserve">Kalkulací je tak například možné získat představu, jak by se současná hodnota rezervovaného příkonu v určitém předávacím místě a typické hodnoty maximálního odebraného výkonu v jednotlivých měsících roku pro určité předávací místo projevily ve snížení nebo zvýšení roční platby za zajišťování distribuce elektřiny, pokud by změna tarifikace platila již pro rok 2026. </t>
    </r>
  </si>
  <si>
    <t>Ke kalkulaci plateb z ceny zajišťování distribuce elektřiny je případně možné po vyplnění údajů o obchodní složce ceny vyhodnotit po pravé straně kalkulátoru i celkovou roční platbu za dodávku elektřiny.</t>
  </si>
  <si>
    <t>Ostatní ceny v platbě za dodávku elektřiny</t>
  </si>
  <si>
    <t>Cena za provoz nesíťové infrastruktury [Kč/měsíc]</t>
  </si>
  <si>
    <t>Cena za systémové služby [Kč/MWh]</t>
  </si>
  <si>
    <t>Složka ceny na podporu elektřiny [Kč/MW/měsíc]</t>
  </si>
  <si>
    <t>Cena silové elektřiny obchodníka [Kč/MWh]</t>
  </si>
  <si>
    <t>Stálý plat obchodníka [Kč/měsíc]</t>
  </si>
  <si>
    <t>Daň z elektřiny [Kč/MWh]</t>
  </si>
  <si>
    <t>Stávající roční platba za dodávku elektřiny celkem</t>
  </si>
  <si>
    <t>Celková roční platba za dodávku elektřiny bez DPH [Kč]</t>
  </si>
  <si>
    <t>Celková roční platba za dodávku elektřiny vč DPH [Kč]</t>
  </si>
  <si>
    <t>Nová roční platba za dodávku elektřiny celkem</t>
  </si>
  <si>
    <t>Dopady nové struktury vč DPH [Kč]</t>
  </si>
  <si>
    <t>Alternativní roční platba za dodávku elektřiny celkem</t>
  </si>
  <si>
    <t>Jde o základní orientační kalkulaci pro standardního zákazníka na napěťové hladině VVN a VN, která nezohledňuje případné specifické dopady mimořádných situací ošetřených cenovým výměrem (např. úpravy ve vazbě na poskytování služeb soustavě nebo specifika záložních vedení). Kalkulace nicméně zohledňuje platbu z ceny za překročení rezervované kapacity.</t>
  </si>
  <si>
    <t>Kalkulace se nachází na následujícím listu, kde se vyplňují buňky podbarvení tmavě modrou barvou. V případě, že je maximálním odebraným výkonem nebo rezervovanou kapacitou překročen rezervovaný příkon, vypíše se chybové hlášení na ř. 39. V případě, že budou upravovány jiné buňky, než označené tmavě modrou barvou, nemusí kalkulátor poskytovat správný výsledek.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</si>
</sst>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6" x14ac:knownFonts="1">
    <font>
      <sz val="11"/>
      <color theme="1"/>
      <name val="Arial"/>
      <family val="2"/>
      <charset val="238"/>
      <scheme val="minor"/>
    </font>
    <font>
      <sz val="18"/>
      <color theme="3"/>
      <name val="Arial"/>
      <family val="2"/>
      <charset val="238"/>
      <scheme val="major"/>
    </font>
    <font>
      <b/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i/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4" tint="0.39997558519241921"/>
      <name val="Arial"/>
      <family val="2"/>
      <charset val="238"/>
      <scheme val="minor"/>
    </font>
    <font>
      <i/>
      <sz val="10"/>
      <color theme="1"/>
      <name val="Arial"/>
      <family val="2"/>
      <charset val="238"/>
      <scheme val="minor"/>
    </font>
    <font>
      <b/>
      <i/>
      <u/>
      <sz val="10"/>
      <color theme="1"/>
      <name val="Arial"/>
      <family val="2"/>
      <charset val="238"/>
      <scheme val="minor"/>
    </font>
    <font>
      <b/>
      <sz val="18"/>
      <color theme="3"/>
      <name val="Arial"/>
      <family val="2"/>
      <charset val="238"/>
      <scheme val="major"/>
    </font>
    <font>
      <sz val="10"/>
      <color theme="1"/>
      <name val="Arial"/>
      <family val="2"/>
      <charset val="238"/>
      <scheme val="minor"/>
    </font>
    <font>
      <i/>
      <sz val="11"/>
      <color theme="8"/>
      <name val="Arial"/>
      <family val="2"/>
      <charset val="238"/>
      <scheme val="minor"/>
    </font>
    <font>
      <b/>
      <i/>
      <sz val="14"/>
      <name val="Arial CE"/>
      <family val="2"/>
      <charset val="238"/>
    </font>
    <font>
      <i/>
      <sz val="11"/>
      <color theme="0" tint="-0.34998626667073579"/>
      <name val="Arial"/>
      <family val="2"/>
      <charset val="238"/>
      <scheme val="minor"/>
    </font>
    <font>
      <b/>
      <i/>
      <sz val="11"/>
      <color rgb="FFFF0000"/>
      <name val="Arial"/>
      <family val="2"/>
      <charset val="238"/>
      <scheme val="minor"/>
    </font>
    <font>
      <sz val="11"/>
      <color rgb="FF00B050"/>
      <name val="Arial"/>
      <family val="2"/>
      <charset val="238"/>
      <scheme val="minor"/>
    </font>
    <font>
      <sz val="10"/>
      <name val="Arial CE"/>
      <family val="2"/>
      <charset val="238"/>
    </font>
    <font>
      <b/>
      <sz val="13"/>
      <color theme="0"/>
      <name val="Arial"/>
      <family val="2"/>
      <charset val="238"/>
      <scheme val="minor"/>
    </font>
    <font>
      <b/>
      <sz val="18"/>
      <color theme="4" tint="0.59999389629810485"/>
      <name val="Arial"/>
      <family val="2"/>
      <charset val="238"/>
      <scheme val="major"/>
    </font>
    <font>
      <b/>
      <sz val="11"/>
      <color theme="0"/>
      <name val="Arial"/>
      <family val="2"/>
      <charset val="238"/>
      <scheme val="minor"/>
    </font>
    <font>
      <b/>
      <i/>
      <sz val="10"/>
      <color theme="1"/>
      <name val="Arial"/>
      <family val="2"/>
      <charset val="238"/>
      <scheme val="minor"/>
    </font>
    <font>
      <b/>
      <i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i/>
      <sz val="11"/>
      <color theme="8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0" borderId="0"/>
    <xf numFmtId="0" fontId="18" fillId="0" borderId="0"/>
  </cellStyleXfs>
  <cellXfs count="77">
    <xf numFmtId="0" fontId="0" fillId="0" borderId="0" xfId="0"/>
    <xf numFmtId="3" fontId="4" fillId="2" borderId="0" xfId="4" applyNumberFormat="1" applyBorder="1" applyProtection="1">
      <protection locked="0"/>
    </xf>
    <xf numFmtId="164" fontId="4" fillId="2" borderId="0" xfId="4" applyNumberFormat="1" applyBorder="1" applyProtection="1">
      <protection locked="0"/>
    </xf>
    <xf numFmtId="0" fontId="8" fillId="0" borderId="0" xfId="0" applyFont="1"/>
    <xf numFmtId="0" fontId="10" fillId="0" borderId="0" xfId="0" applyFont="1"/>
    <xf numFmtId="0" fontId="12" fillId="0" borderId="0" xfId="0" applyFont="1"/>
    <xf numFmtId="14" fontId="12" fillId="0" borderId="0" xfId="0" applyNumberFormat="1" applyFont="1" applyAlignment="1">
      <alignment horizontal="left"/>
    </xf>
    <xf numFmtId="0" fontId="0" fillId="0" borderId="0" xfId="0" applyProtection="1">
      <protection hidden="1"/>
    </xf>
    <xf numFmtId="0" fontId="9" fillId="0" borderId="0" xfId="0" applyFont="1" applyAlignment="1" applyProtection="1">
      <alignment vertical="justify" wrapText="1"/>
      <protection hidden="1"/>
    </xf>
    <xf numFmtId="0" fontId="9" fillId="0" borderId="0" xfId="0" applyFont="1" applyAlignment="1" applyProtection="1">
      <alignment wrapText="1"/>
      <protection hidden="1"/>
    </xf>
    <xf numFmtId="3" fontId="0" fillId="2" borderId="0" xfId="4" applyNumberFormat="1" applyFont="1" applyBorder="1" applyProtection="1">
      <protection locked="0"/>
    </xf>
    <xf numFmtId="0" fontId="1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0" fillId="0" borderId="3" xfId="0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hidden="1"/>
    </xf>
    <xf numFmtId="3" fontId="0" fillId="0" borderId="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4" fillId="3" borderId="0" xfId="5" applyNumberFormat="1" applyBorder="1" applyProtection="1"/>
    <xf numFmtId="4" fontId="4" fillId="3" borderId="0" xfId="5" applyNumberFormat="1" applyBorder="1" applyProtection="1"/>
    <xf numFmtId="3" fontId="19" fillId="4" borderId="0" xfId="3" applyNumberFormat="1" applyFont="1" applyFill="1" applyBorder="1" applyProtection="1"/>
    <xf numFmtId="3" fontId="4" fillId="3" borderId="0" xfId="5" applyNumberFormat="1" applyBorder="1" applyProtection="1"/>
    <xf numFmtId="0" fontId="2" fillId="0" borderId="12" xfId="0" applyFont="1" applyBorder="1" applyAlignment="1">
      <alignment horizontal="right"/>
    </xf>
    <xf numFmtId="3" fontId="2" fillId="3" borderId="12" xfId="5" applyNumberFormat="1" applyFont="1" applyBorder="1" applyProtection="1"/>
    <xf numFmtId="3" fontId="21" fillId="4" borderId="0" xfId="5" applyNumberFormat="1" applyFont="1" applyFill="1" applyBorder="1" applyProtection="1"/>
    <xf numFmtId="0" fontId="5" fillId="0" borderId="0" xfId="3" applyBorder="1" applyProtection="1"/>
    <xf numFmtId="3" fontId="5" fillId="0" borderId="1" xfId="3" applyNumberFormat="1" applyFill="1" applyProtection="1"/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11" fillId="0" borderId="0" xfId="1" applyFont="1" applyBorder="1" applyProtection="1"/>
    <xf numFmtId="0" fontId="0" fillId="0" borderId="17" xfId="0" applyBorder="1" applyProtection="1">
      <protection hidden="1"/>
    </xf>
    <xf numFmtId="0" fontId="5" fillId="0" borderId="1" xfId="3" applyProtection="1"/>
    <xf numFmtId="0" fontId="0" fillId="0" borderId="0" xfId="0" applyAlignment="1">
      <alignment horizontal="right"/>
    </xf>
    <xf numFmtId="0" fontId="16" fillId="0" borderId="0" xfId="0" applyFont="1"/>
    <xf numFmtId="3" fontId="5" fillId="0" borderId="1" xfId="3" applyNumberFormat="1" applyFill="1" applyAlignment="1" applyProtection="1"/>
    <xf numFmtId="0" fontId="0" fillId="0" borderId="18" xfId="0" applyBorder="1" applyProtection="1">
      <protection hidden="1"/>
    </xf>
    <xf numFmtId="0" fontId="0" fillId="0" borderId="19" xfId="0" applyBorder="1" applyAlignment="1">
      <alignment horizontal="right"/>
    </xf>
    <xf numFmtId="164" fontId="0" fillId="0" borderId="19" xfId="0" applyNumberFormat="1" applyBorder="1"/>
    <xf numFmtId="0" fontId="0" fillId="0" borderId="20" xfId="0" applyBorder="1" applyProtection="1">
      <protection hidden="1"/>
    </xf>
    <xf numFmtId="0" fontId="0" fillId="0" borderId="14" xfId="0" applyBorder="1" applyAlignment="1">
      <alignment horizontal="right"/>
    </xf>
    <xf numFmtId="0" fontId="0" fillId="0" borderId="14" xfId="0" applyBorder="1"/>
    <xf numFmtId="0" fontId="13" fillId="0" borderId="0" xfId="0" applyFont="1"/>
    <xf numFmtId="0" fontId="2" fillId="0" borderId="19" xfId="0" applyFont="1" applyBorder="1" applyAlignment="1">
      <alignment horizontal="right"/>
    </xf>
    <xf numFmtId="0" fontId="0" fillId="0" borderId="19" xfId="0" applyBorder="1"/>
    <xf numFmtId="0" fontId="2" fillId="0" borderId="14" xfId="0" applyFont="1" applyBorder="1" applyAlignment="1">
      <alignment horizontal="right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1" fillId="4" borderId="0" xfId="0" applyFont="1" applyFill="1" applyAlignment="1">
      <alignment horizontal="right"/>
    </xf>
    <xf numFmtId="0" fontId="20" fillId="0" borderId="0" xfId="1" applyFont="1" applyBorder="1" applyProtection="1"/>
    <xf numFmtId="0" fontId="17" fillId="0" borderId="0" xfId="0" applyFont="1"/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4" fontId="4" fillId="2" borderId="0" xfId="4" applyNumberFormat="1" applyBorder="1" applyProtection="1">
      <protection locked="0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0" fillId="0" borderId="0" xfId="0"/>
  </cellXfs>
  <cellStyles count="8">
    <cellStyle name="20 % – Zvýraznění 1" xfId="4" builtinId="30"/>
    <cellStyle name="20 % – Zvýraznění 4" xfId="5" builtinId="42"/>
    <cellStyle name="Nadpis 2" xfId="3" builtinId="17"/>
    <cellStyle name="Název" xfId="1" builtinId="15"/>
    <cellStyle name="Normální" xfId="0" builtinId="0"/>
    <cellStyle name="Normální 2" xfId="2" xr:uid="{A3DC3EEF-AC9D-41A0-BCFF-F97FDEC89724}"/>
    <cellStyle name="Normální 2 3 2" xfId="7" xr:uid="{0CC69A49-F4DE-494F-9257-A0E2AD7E9926}"/>
    <cellStyle name="Normální 3" xfId="6" xr:uid="{44D211E5-300A-417B-8032-94B3BB3F4DEF}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38A26"/>
      <color rgb="FF37717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2</xdr:row>
      <xdr:rowOff>19050</xdr:rowOff>
    </xdr:from>
    <xdr:to>
      <xdr:col>4</xdr:col>
      <xdr:colOff>95250</xdr:colOff>
      <xdr:row>5</xdr:row>
      <xdr:rowOff>66675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AE77F96F-1288-11CD-BE9A-1DE067E3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23875"/>
          <a:ext cx="2105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FBE-0273-4177-9141-87C8E4A6E3F4}">
  <sheetPr codeName="List1"/>
  <dimension ref="A1:A18"/>
  <sheetViews>
    <sheetView showGridLines="0" tabSelected="1" zoomScaleNormal="100" workbookViewId="0"/>
  </sheetViews>
  <sheetFormatPr defaultRowHeight="14.25" x14ac:dyDescent="0.2"/>
  <cols>
    <col min="1" max="1" width="93.75" bestFit="1" customWidth="1"/>
    <col min="2" max="2" width="49.5" customWidth="1"/>
    <col min="3" max="3" width="16.5" bestFit="1" customWidth="1"/>
  </cols>
  <sheetData>
    <row r="1" spans="1:1" ht="26.1" customHeight="1" x14ac:dyDescent="0.35">
      <c r="A1" s="3" t="s">
        <v>13</v>
      </c>
    </row>
    <row r="4" spans="1:1" ht="18.600000000000001" customHeight="1" x14ac:dyDescent="0.2">
      <c r="A4" s="4" t="s">
        <v>1</v>
      </c>
    </row>
    <row r="5" spans="1:1" x14ac:dyDescent="0.2">
      <c r="A5" s="7"/>
    </row>
    <row r="6" spans="1:1" ht="76.5" x14ac:dyDescent="0.2">
      <c r="A6" s="9" t="s">
        <v>58</v>
      </c>
    </row>
    <row r="7" spans="1:1" x14ac:dyDescent="0.2">
      <c r="A7" s="7"/>
    </row>
    <row r="8" spans="1:1" ht="38.25" x14ac:dyDescent="0.2">
      <c r="A8" s="9" t="s">
        <v>56</v>
      </c>
    </row>
    <row r="9" spans="1:1" x14ac:dyDescent="0.2">
      <c r="A9" s="7"/>
    </row>
    <row r="10" spans="1:1" ht="25.5" x14ac:dyDescent="0.2">
      <c r="A10" s="9" t="s">
        <v>59</v>
      </c>
    </row>
    <row r="11" spans="1:1" x14ac:dyDescent="0.2">
      <c r="A11" s="7"/>
    </row>
    <row r="12" spans="1:1" ht="41.45" customHeight="1" x14ac:dyDescent="0.2">
      <c r="A12" s="8" t="s">
        <v>73</v>
      </c>
    </row>
    <row r="14" spans="1:1" ht="51" x14ac:dyDescent="0.2">
      <c r="A14" s="8" t="s">
        <v>74</v>
      </c>
    </row>
    <row r="17" spans="1:1" x14ac:dyDescent="0.2">
      <c r="A17" s="5" t="s">
        <v>2</v>
      </c>
    </row>
    <row r="18" spans="1:1" x14ac:dyDescent="0.2">
      <c r="A18" s="6">
        <v>46175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55D2-2C5C-47C3-B75D-0F9946530C29}">
  <sheetPr codeName="List4">
    <tabColor theme="3"/>
  </sheetPr>
  <dimension ref="B1:U68"/>
  <sheetViews>
    <sheetView showGridLines="0" zoomScale="60" zoomScaleNormal="60" workbookViewId="0"/>
  </sheetViews>
  <sheetFormatPr defaultColWidth="9" defaultRowHeight="14.25" x14ac:dyDescent="0.2"/>
  <cols>
    <col min="1" max="2" width="3.5" style="7" customWidth="1"/>
    <col min="3" max="3" width="59.5" style="7" customWidth="1"/>
    <col min="4" max="4" width="28.25" style="7" bestFit="1" customWidth="1"/>
    <col min="5" max="15" width="16.5" style="7" customWidth="1"/>
    <col min="16" max="16" width="3.125" style="7" customWidth="1"/>
    <col min="17" max="17" width="5.75" style="7" customWidth="1"/>
    <col min="18" max="18" width="2.75" style="7" customWidth="1"/>
    <col min="19" max="19" width="53" style="7" customWidth="1"/>
    <col min="20" max="20" width="28.375" style="7" customWidth="1"/>
    <col min="21" max="21" width="2.75" style="7" customWidth="1"/>
    <col min="22" max="16384" width="9" style="7"/>
  </cols>
  <sheetData>
    <row r="1" spans="2:21" ht="15" thickBot="1" x14ac:dyDescent="0.25"/>
    <row r="2" spans="2:21" x14ac:dyDescent="0.2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R2" s="41"/>
      <c r="S2" s="42"/>
      <c r="T2" s="42"/>
      <c r="U2" s="43"/>
    </row>
    <row r="3" spans="2:21" ht="23.25" x14ac:dyDescent="0.35">
      <c r="B3" s="44"/>
      <c r="C3" s="3" t="s">
        <v>12</v>
      </c>
      <c r="D3" s="45"/>
      <c r="E3"/>
      <c r="F3" s="70"/>
      <c r="G3" s="71"/>
      <c r="H3" s="71"/>
      <c r="I3" s="71"/>
      <c r="J3" s="71"/>
      <c r="K3" s="71"/>
      <c r="L3" s="71"/>
      <c r="M3" s="71"/>
      <c r="N3" s="71"/>
      <c r="O3" s="71"/>
      <c r="P3" s="46"/>
      <c r="R3" s="44"/>
      <c r="S3" s="3" t="s">
        <v>60</v>
      </c>
      <c r="T3" s="45"/>
      <c r="U3" s="46"/>
    </row>
    <row r="4" spans="2:21" ht="6.75" customHeight="1" x14ac:dyDescent="0.2">
      <c r="B4" s="44"/>
      <c r="C4"/>
      <c r="D4"/>
      <c r="E4"/>
      <c r="F4"/>
      <c r="G4"/>
      <c r="H4"/>
      <c r="I4"/>
      <c r="J4"/>
      <c r="K4"/>
      <c r="L4"/>
      <c r="M4"/>
      <c r="N4"/>
      <c r="O4"/>
      <c r="P4" s="46"/>
      <c r="R4" s="44"/>
      <c r="S4"/>
      <c r="T4"/>
      <c r="U4" s="46"/>
    </row>
    <row r="5" spans="2:21" ht="17.25" thickBot="1" x14ac:dyDescent="0.3">
      <c r="B5" s="44"/>
      <c r="C5"/>
      <c r="D5" s="47"/>
      <c r="E5"/>
      <c r="F5" s="49"/>
      <c r="G5"/>
      <c r="H5"/>
      <c r="I5"/>
      <c r="J5"/>
      <c r="K5"/>
      <c r="L5"/>
      <c r="M5"/>
      <c r="N5"/>
      <c r="O5"/>
      <c r="P5" s="46"/>
      <c r="R5" s="44"/>
      <c r="S5"/>
      <c r="T5"/>
      <c r="U5" s="46"/>
    </row>
    <row r="6" spans="2:21" ht="15" thickTop="1" x14ac:dyDescent="0.2">
      <c r="B6" s="44"/>
      <c r="C6" s="48" t="s">
        <v>3</v>
      </c>
      <c r="D6" s="1" t="s">
        <v>4</v>
      </c>
      <c r="E6"/>
      <c r="F6" s="70"/>
      <c r="G6" s="71"/>
      <c r="H6" s="71"/>
      <c r="I6" s="71"/>
      <c r="J6" s="71"/>
      <c r="K6" s="71"/>
      <c r="L6" s="71"/>
      <c r="M6" s="71"/>
      <c r="N6" s="71"/>
      <c r="O6" s="71"/>
      <c r="P6" s="46"/>
      <c r="R6" s="44"/>
      <c r="S6" s="48" t="s">
        <v>61</v>
      </c>
      <c r="T6" s="33">
        <v>12.869999999999997</v>
      </c>
      <c r="U6" s="46"/>
    </row>
    <row r="7" spans="2:21" x14ac:dyDescent="0.2">
      <c r="B7" s="44"/>
      <c r="C7" s="48" t="s">
        <v>6</v>
      </c>
      <c r="D7" s="10" t="s">
        <v>15</v>
      </c>
      <c r="E7" s="49" t="str">
        <f>IF(AND(D7="VVN",OR(D6=Ceník!$B$10,D6=Ceník!$B$11)),"K tomuto území existují pouze ceny na VN","")</f>
        <v/>
      </c>
      <c r="F7" s="70"/>
      <c r="G7" s="71"/>
      <c r="H7" s="71"/>
      <c r="I7" s="71"/>
      <c r="J7" s="71"/>
      <c r="K7" s="71"/>
      <c r="L7" s="71"/>
      <c r="M7" s="71"/>
      <c r="N7" s="71"/>
      <c r="O7" s="71"/>
      <c r="P7" s="46"/>
      <c r="R7" s="44"/>
      <c r="S7" s="48" t="s">
        <v>62</v>
      </c>
      <c r="T7" s="33">
        <v>164.24</v>
      </c>
      <c r="U7" s="46"/>
    </row>
    <row r="8" spans="2:21" x14ac:dyDescent="0.2">
      <c r="B8" s="44"/>
      <c r="C8" s="48"/>
      <c r="D8" s="48"/>
      <c r="E8"/>
      <c r="F8" s="70"/>
      <c r="G8" s="71"/>
      <c r="H8" s="71"/>
      <c r="I8" s="71"/>
      <c r="J8" s="71"/>
      <c r="K8" s="71"/>
      <c r="L8" s="71"/>
      <c r="M8" s="71"/>
      <c r="N8" s="71"/>
      <c r="O8" s="71"/>
      <c r="P8" s="46"/>
      <c r="R8" s="44"/>
      <c r="S8" s="48" t="s">
        <v>63</v>
      </c>
      <c r="T8" s="33">
        <v>0</v>
      </c>
      <c r="U8" s="46"/>
    </row>
    <row r="9" spans="2:21" x14ac:dyDescent="0.2">
      <c r="B9" s="44"/>
      <c r="C9" s="48"/>
      <c r="D9" s="48"/>
      <c r="E9"/>
      <c r="F9"/>
      <c r="G9"/>
      <c r="H9"/>
      <c r="I9"/>
      <c r="J9"/>
      <c r="K9"/>
      <c r="L9"/>
      <c r="M9"/>
      <c r="N9"/>
      <c r="O9"/>
      <c r="P9" s="46"/>
      <c r="R9" s="44"/>
      <c r="S9" s="48" t="s">
        <v>64</v>
      </c>
      <c r="T9" s="69">
        <v>2616</v>
      </c>
      <c r="U9" s="46"/>
    </row>
    <row r="10" spans="2:21" ht="17.25" thickBot="1" x14ac:dyDescent="0.3">
      <c r="B10" s="44"/>
      <c r="C10" s="48"/>
      <c r="D10" s="50" t="s">
        <v>21</v>
      </c>
      <c r="E10" s="50" t="s">
        <v>22</v>
      </c>
      <c r="F10" s="50" t="s">
        <v>23</v>
      </c>
      <c r="G10" s="50" t="s">
        <v>24</v>
      </c>
      <c r="H10" s="50" t="s">
        <v>25</v>
      </c>
      <c r="I10" s="50" t="s">
        <v>26</v>
      </c>
      <c r="J10" s="50" t="s">
        <v>27</v>
      </c>
      <c r="K10" s="50" t="s">
        <v>28</v>
      </c>
      <c r="L10" s="50" t="s">
        <v>29</v>
      </c>
      <c r="M10" s="50" t="s">
        <v>30</v>
      </c>
      <c r="N10" s="50" t="s">
        <v>31</v>
      </c>
      <c r="O10" s="50" t="s">
        <v>32</v>
      </c>
      <c r="P10" s="46"/>
      <c r="R10" s="44"/>
      <c r="S10" s="48" t="s">
        <v>65</v>
      </c>
      <c r="T10" s="69">
        <v>130</v>
      </c>
      <c r="U10" s="46"/>
    </row>
    <row r="11" spans="2:21" ht="15" thickTop="1" x14ac:dyDescent="0.2">
      <c r="B11" s="44"/>
      <c r="C11" s="48" t="s">
        <v>53</v>
      </c>
      <c r="D11" s="2">
        <v>12</v>
      </c>
      <c r="E11" s="2">
        <v>1885.8530000000001</v>
      </c>
      <c r="F11" s="2">
        <v>2051.201</v>
      </c>
      <c r="G11" s="2">
        <v>2131.9</v>
      </c>
      <c r="H11" s="2">
        <v>2025.913</v>
      </c>
      <c r="I11" s="2">
        <v>1801.596</v>
      </c>
      <c r="J11" s="2">
        <v>1880.3889999999999</v>
      </c>
      <c r="K11" s="2">
        <v>1880.8869999999999</v>
      </c>
      <c r="L11" s="2">
        <v>1817.8009999999999</v>
      </c>
      <c r="M11" s="2">
        <v>2044.6859999999999</v>
      </c>
      <c r="N11" s="2">
        <v>2085.6669999999999</v>
      </c>
      <c r="O11" s="2">
        <v>2036.5309999999999</v>
      </c>
      <c r="P11" s="46"/>
      <c r="R11" s="44"/>
      <c r="S11" s="48" t="s">
        <v>66</v>
      </c>
      <c r="T11" s="33">
        <v>28.3</v>
      </c>
      <c r="U11" s="46"/>
    </row>
    <row r="12" spans="2:21" x14ac:dyDescent="0.2">
      <c r="B12" s="44"/>
      <c r="C12" s="48" t="s">
        <v>47</v>
      </c>
      <c r="D12" s="32">
        <f>SUM(D11:O11)</f>
        <v>21654.423999999999</v>
      </c>
      <c r="E12"/>
      <c r="F12"/>
      <c r="G12"/>
      <c r="H12"/>
      <c r="I12"/>
      <c r="J12"/>
      <c r="K12"/>
      <c r="L12"/>
      <c r="M12"/>
      <c r="N12"/>
      <c r="O12"/>
      <c r="P12" s="46"/>
      <c r="R12" s="44"/>
      <c r="S12" s="61"/>
      <c r="T12" s="61"/>
      <c r="U12" s="46"/>
    </row>
    <row r="13" spans="2:21" ht="15" thickBot="1" x14ac:dyDescent="0.25">
      <c r="B13" s="51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R13" s="51"/>
      <c r="S13" s="52"/>
      <c r="T13" s="53"/>
      <c r="U13" s="54"/>
    </row>
    <row r="14" spans="2:21" x14ac:dyDescent="0.2">
      <c r="B14" s="41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43"/>
      <c r="R14" s="41"/>
      <c r="S14" s="55"/>
      <c r="T14" s="56"/>
      <c r="U14" s="43"/>
    </row>
    <row r="15" spans="2:21" ht="23.25" x14ac:dyDescent="0.35">
      <c r="B15" s="44"/>
      <c r="C15" s="45" t="s">
        <v>44</v>
      </c>
      <c r="D15"/>
      <c r="E15"/>
      <c r="F15"/>
      <c r="G15"/>
      <c r="H15"/>
      <c r="I15"/>
      <c r="J15"/>
      <c r="K15"/>
      <c r="L15"/>
      <c r="M15"/>
      <c r="N15"/>
      <c r="O15"/>
      <c r="P15" s="46"/>
      <c r="R15" s="44"/>
      <c r="S15" s="45" t="s">
        <v>67</v>
      </c>
      <c r="T15"/>
      <c r="U15" s="46"/>
    </row>
    <row r="16" spans="2:21" ht="6.75" customHeight="1" x14ac:dyDescent="0.2">
      <c r="B16" s="44"/>
      <c r="C16" s="48"/>
      <c r="D16"/>
      <c r="E16"/>
      <c r="F16"/>
      <c r="G16"/>
      <c r="H16"/>
      <c r="I16"/>
      <c r="J16"/>
      <c r="K16"/>
      <c r="L16"/>
      <c r="M16"/>
      <c r="N16"/>
      <c r="O16"/>
      <c r="P16" s="46"/>
      <c r="R16" s="44"/>
      <c r="S16" s="48"/>
      <c r="T16" s="48"/>
      <c r="U16" s="46"/>
    </row>
    <row r="17" spans="2:21" ht="17.25" thickBot="1" x14ac:dyDescent="0.3">
      <c r="B17" s="44"/>
      <c r="C17" s="48"/>
      <c r="D17" s="50" t="s">
        <v>21</v>
      </c>
      <c r="E17" s="50" t="s">
        <v>22</v>
      </c>
      <c r="F17" s="50" t="s">
        <v>23</v>
      </c>
      <c r="G17" s="50" t="s">
        <v>24</v>
      </c>
      <c r="H17" s="50" t="s">
        <v>25</v>
      </c>
      <c r="I17" s="50" t="s">
        <v>26</v>
      </c>
      <c r="J17" s="50" t="s">
        <v>27</v>
      </c>
      <c r="K17" s="50" t="s">
        <v>28</v>
      </c>
      <c r="L17" s="50" t="s">
        <v>29</v>
      </c>
      <c r="M17" s="50" t="s">
        <v>30</v>
      </c>
      <c r="N17" s="50" t="s">
        <v>31</v>
      </c>
      <c r="O17" s="50" t="s">
        <v>32</v>
      </c>
      <c r="P17" s="46"/>
      <c r="R17" s="44"/>
      <c r="S17" s="48"/>
      <c r="T17" s="48"/>
      <c r="U17" s="46"/>
    </row>
    <row r="18" spans="2:21" ht="15" thickTop="1" x14ac:dyDescent="0.2">
      <c r="B18" s="44"/>
      <c r="C18" s="48" t="s">
        <v>7</v>
      </c>
      <c r="D18" s="2">
        <v>4.8</v>
      </c>
      <c r="E18" s="2">
        <v>4.8</v>
      </c>
      <c r="F18" s="2">
        <v>4.8</v>
      </c>
      <c r="G18" s="2">
        <v>4.8</v>
      </c>
      <c r="H18" s="2">
        <v>4.8</v>
      </c>
      <c r="I18" s="2">
        <v>4.8</v>
      </c>
      <c r="J18" s="2">
        <v>4.8</v>
      </c>
      <c r="K18" s="2">
        <v>4.8</v>
      </c>
      <c r="L18" s="2">
        <v>4.8</v>
      </c>
      <c r="M18" s="2">
        <v>4.8</v>
      </c>
      <c r="N18" s="2">
        <v>4.8</v>
      </c>
      <c r="O18" s="2">
        <v>4.8</v>
      </c>
      <c r="P18" s="46"/>
      <c r="R18" s="44"/>
      <c r="S18" s="48"/>
      <c r="T18" s="48"/>
      <c r="U18" s="46"/>
    </row>
    <row r="19" spans="2:21" x14ac:dyDescent="0.2">
      <c r="B19" s="44"/>
      <c r="C19" s="48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46"/>
      <c r="R19" s="44"/>
      <c r="S19" s="48"/>
      <c r="T19" s="48"/>
      <c r="U19" s="46"/>
    </row>
    <row r="20" spans="2:21" x14ac:dyDescent="0.2">
      <c r="B20" s="44"/>
      <c r="C20" s="48" t="s">
        <v>35</v>
      </c>
      <c r="D20" s="2">
        <v>4.3529999999999998</v>
      </c>
      <c r="E20" s="2">
        <v>4.2919999999999998</v>
      </c>
      <c r="F20" s="2">
        <v>4.29</v>
      </c>
      <c r="G20" s="2">
        <v>4.5309999999999997</v>
      </c>
      <c r="H20" s="2">
        <v>4.3490000000000002</v>
      </c>
      <c r="I20" s="2">
        <v>4.3630000000000004</v>
      </c>
      <c r="J20" s="2">
        <v>4.2240000000000002</v>
      </c>
      <c r="K20" s="2">
        <v>4.2169999999999996</v>
      </c>
      <c r="L20" s="2">
        <v>4.4850000000000003</v>
      </c>
      <c r="M20" s="2">
        <v>4.4560000000000004</v>
      </c>
      <c r="N20" s="2">
        <v>4.4569999999999999</v>
      </c>
      <c r="O20" s="2">
        <v>4.57</v>
      </c>
      <c r="P20" s="46"/>
      <c r="R20" s="44"/>
      <c r="S20" s="48"/>
      <c r="T20" s="48"/>
      <c r="U20" s="46"/>
    </row>
    <row r="21" spans="2:21" x14ac:dyDescent="0.2">
      <c r="B21" s="44"/>
      <c r="C21" s="48"/>
      <c r="D21"/>
      <c r="E21"/>
      <c r="F21"/>
      <c r="G21"/>
      <c r="H21"/>
      <c r="I21"/>
      <c r="J21"/>
      <c r="K21"/>
      <c r="L21"/>
      <c r="M21"/>
      <c r="N21"/>
      <c r="O21"/>
      <c r="P21" s="46"/>
      <c r="R21" s="44"/>
      <c r="S21" s="48"/>
      <c r="T21" s="48"/>
      <c r="U21" s="46"/>
    </row>
    <row r="22" spans="2:21" ht="17.25" thickBot="1" x14ac:dyDescent="0.3">
      <c r="B22" s="44"/>
      <c r="C22" s="48"/>
      <c r="D22" s="40" t="s">
        <v>0</v>
      </c>
      <c r="E22"/>
      <c r="F22"/>
      <c r="G22"/>
      <c r="H22"/>
      <c r="I22"/>
      <c r="J22"/>
      <c r="K22"/>
      <c r="L22"/>
      <c r="M22"/>
      <c r="N22"/>
      <c r="O22"/>
      <c r="P22" s="46"/>
      <c r="R22" s="44"/>
      <c r="S22" s="48"/>
      <c r="T22" s="48"/>
      <c r="U22" s="46"/>
    </row>
    <row r="23" spans="2:21" ht="15" thickTop="1" x14ac:dyDescent="0.2">
      <c r="B23" s="44"/>
      <c r="C23" s="48" t="s">
        <v>9</v>
      </c>
      <c r="D23" s="33">
        <f>VLOOKUP(CONCATENATE($D$6,$D$7),Ceník!$A$4:$J$11,4,0)</f>
        <v>252565</v>
      </c>
      <c r="E23" s="14"/>
      <c r="F23"/>
      <c r="G23"/>
      <c r="H23"/>
      <c r="I23"/>
      <c r="J23"/>
      <c r="K23"/>
      <c r="L23"/>
      <c r="M23"/>
      <c r="N23"/>
      <c r="O23"/>
      <c r="P23" s="46"/>
      <c r="R23" s="44"/>
      <c r="S23" s="48"/>
      <c r="T23" s="48"/>
      <c r="U23" s="46"/>
    </row>
    <row r="24" spans="2:21" x14ac:dyDescent="0.2">
      <c r="B24" s="44"/>
      <c r="C24" s="48" t="s">
        <v>10</v>
      </c>
      <c r="D24" s="33">
        <f>VLOOKUP(CONCATENATE($D$6,$D$7),Ceník!$A$4:$J$11,5,0)</f>
        <v>281823</v>
      </c>
      <c r="E24" s="14"/>
      <c r="F24"/>
      <c r="G24"/>
      <c r="H24"/>
      <c r="I24"/>
      <c r="J24"/>
      <c r="K24"/>
      <c r="L24"/>
      <c r="M24"/>
      <c r="N24"/>
      <c r="O24"/>
      <c r="P24" s="46"/>
      <c r="R24" s="44"/>
      <c r="S24" s="48"/>
      <c r="T24" s="48"/>
      <c r="U24" s="46"/>
    </row>
    <row r="25" spans="2:21" x14ac:dyDescent="0.2">
      <c r="B25" s="44"/>
      <c r="C25" s="48" t="s">
        <v>11</v>
      </c>
      <c r="D25" s="33">
        <f>VLOOKUP(CONCATENATE($D$6,$D$7),Ceník!$A$4:$J$11,6,0)</f>
        <v>106.22</v>
      </c>
      <c r="E25" s="14"/>
      <c r="F25"/>
      <c r="G25"/>
      <c r="H25"/>
      <c r="I25"/>
      <c r="J25"/>
      <c r="K25"/>
      <c r="L25"/>
      <c r="M25"/>
      <c r="N25"/>
      <c r="O25"/>
      <c r="P25" s="46"/>
      <c r="R25" s="44"/>
      <c r="S25" s="48"/>
      <c r="T25" s="48"/>
      <c r="U25" s="46"/>
    </row>
    <row r="26" spans="2:21" x14ac:dyDescent="0.2">
      <c r="B26" s="44"/>
      <c r="C26" s="48"/>
      <c r="D26"/>
      <c r="E26"/>
      <c r="F26"/>
      <c r="G26"/>
      <c r="H26"/>
      <c r="I26"/>
      <c r="J26"/>
      <c r="K26"/>
      <c r="L26"/>
      <c r="M26"/>
      <c r="N26"/>
      <c r="O26"/>
      <c r="P26" s="46"/>
      <c r="R26" s="44"/>
      <c r="S26" s="48"/>
      <c r="T26" s="48"/>
      <c r="U26" s="46"/>
    </row>
    <row r="27" spans="2:21" ht="16.5" x14ac:dyDescent="0.25">
      <c r="B27" s="44"/>
      <c r="C27" s="48"/>
      <c r="D27" s="34" t="s">
        <v>57</v>
      </c>
      <c r="E27"/>
      <c r="F27"/>
      <c r="G27"/>
      <c r="H27"/>
      <c r="I27"/>
      <c r="J27"/>
      <c r="K27"/>
      <c r="L27"/>
      <c r="M27"/>
      <c r="N27"/>
      <c r="O27"/>
      <c r="P27" s="46"/>
      <c r="R27" s="44"/>
      <c r="S27" s="48"/>
      <c r="T27" s="48"/>
      <c r="U27" s="46"/>
    </row>
    <row r="28" spans="2:21" ht="17.25" thickBot="1" x14ac:dyDescent="0.3">
      <c r="B28" s="44"/>
      <c r="C28" s="48"/>
      <c r="D28" s="50" t="s">
        <v>21</v>
      </c>
      <c r="E28" s="50" t="s">
        <v>22</v>
      </c>
      <c r="F28" s="50" t="s">
        <v>23</v>
      </c>
      <c r="G28" s="50" t="s">
        <v>24</v>
      </c>
      <c r="H28" s="50" t="s">
        <v>25</v>
      </c>
      <c r="I28" s="50" t="s">
        <v>26</v>
      </c>
      <c r="J28" s="50" t="s">
        <v>27</v>
      </c>
      <c r="K28" s="50" t="s">
        <v>28</v>
      </c>
      <c r="L28" s="50" t="s">
        <v>29</v>
      </c>
      <c r="M28" s="50" t="s">
        <v>30</v>
      </c>
      <c r="N28" s="50" t="s">
        <v>31</v>
      </c>
      <c r="O28" s="50" t="s">
        <v>32</v>
      </c>
      <c r="P28" s="46"/>
      <c r="R28" s="44"/>
      <c r="S28" s="48"/>
      <c r="T28" s="48"/>
      <c r="U28" s="46"/>
    </row>
    <row r="29" spans="2:21" ht="15" thickTop="1" x14ac:dyDescent="0.2">
      <c r="B29" s="44"/>
      <c r="C29" s="48" t="s">
        <v>54</v>
      </c>
      <c r="D29" s="35">
        <f>D18*$D$23+D19*$D$24+$D$25*D11+MAX(0,D20-D19-D18)*$D$24*1.5</f>
        <v>1213586.6399999999</v>
      </c>
      <c r="E29" s="35">
        <f t="shared" ref="E29:O29" si="0">E18*$D$23+E19*$D$24+$D$25*E11+MAX(0,E20-E19-E18)*$D$24*1.5</f>
        <v>1412627.3056600001</v>
      </c>
      <c r="F29" s="35">
        <f t="shared" si="0"/>
        <v>1430190.5702200001</v>
      </c>
      <c r="G29" s="35">
        <f t="shared" si="0"/>
        <v>1438762.4180000001</v>
      </c>
      <c r="H29" s="35">
        <f t="shared" si="0"/>
        <v>1427504.4788599999</v>
      </c>
      <c r="I29" s="35">
        <f t="shared" si="0"/>
        <v>1403677.52712</v>
      </c>
      <c r="J29" s="35">
        <f t="shared" si="0"/>
        <v>1412046.91958</v>
      </c>
      <c r="K29" s="35">
        <f t="shared" si="0"/>
        <v>1412099.8171399999</v>
      </c>
      <c r="L29" s="35">
        <f t="shared" si="0"/>
        <v>1405398.82222</v>
      </c>
      <c r="M29" s="35">
        <f t="shared" si="0"/>
        <v>1429498.5469200001</v>
      </c>
      <c r="N29" s="35">
        <f t="shared" si="0"/>
        <v>1433851.54874</v>
      </c>
      <c r="O29" s="35">
        <f t="shared" si="0"/>
        <v>1428632.3228199999</v>
      </c>
      <c r="P29" s="46"/>
      <c r="R29" s="44"/>
      <c r="S29" s="48" t="s">
        <v>68</v>
      </c>
      <c r="T29" s="35">
        <f>D30+12*($T$6+$T$10)+$D$12*($T$7+$T$9+$T$11)</f>
        <v>77666907.338239998</v>
      </c>
      <c r="U29" s="46"/>
    </row>
    <row r="30" spans="2:21" ht="15.75" thickBot="1" x14ac:dyDescent="0.3">
      <c r="B30" s="44"/>
      <c r="C30" s="36" t="s">
        <v>33</v>
      </c>
      <c r="D30" s="37">
        <f>SUM(D29:O29)</f>
        <v>16847876.917279996</v>
      </c>
      <c r="E30" s="72" t="str">
        <f>IF(OR(ISBLANK(D36),ISBLANK(E36),ISBLANK(F36),ISBLANK(G36),ISBLANK(H36),ISBLANK(I36),ISBLANK(J36),ISBLANK(K36),ISBLANK(L36),ISBLANK(M36),ISBLANK(N36),ISBLANK(O36)),"",IF(OR(D37&gt;D36,E37&gt;E36,F37&gt;F36,G37&gt;G36,H37&gt;H36,I37&gt;I36,J37&gt;J36,K37&gt;K36,L37&gt;L36,M37&gt;M36,N37&gt;N36,O37&gt;O36),"Není započtena cena za překročení rezervovaného příkonu",""))</f>
        <v/>
      </c>
      <c r="F30"/>
      <c r="G30"/>
      <c r="H30"/>
      <c r="I30"/>
      <c r="J30"/>
      <c r="K30"/>
      <c r="L30"/>
      <c r="M30"/>
      <c r="N30"/>
      <c r="O30"/>
      <c r="P30" s="46"/>
      <c r="R30" s="44"/>
      <c r="S30" s="36" t="s">
        <v>69</v>
      </c>
      <c r="T30" s="37">
        <f>T29*1.21</f>
        <v>93976957.87927039</v>
      </c>
      <c r="U30" s="46"/>
    </row>
    <row r="31" spans="2:21" ht="16.5" thickTop="1" thickBot="1" x14ac:dyDescent="0.3">
      <c r="B31" s="51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4"/>
      <c r="R31" s="51"/>
      <c r="S31" s="58"/>
      <c r="T31" s="59"/>
      <c r="U31" s="54"/>
    </row>
    <row r="32" spans="2:21" ht="15" customHeight="1" x14ac:dyDescent="0.25">
      <c r="B32" s="41"/>
      <c r="C32" s="60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43"/>
      <c r="R32" s="41"/>
      <c r="S32" s="60"/>
      <c r="T32" s="56"/>
      <c r="U32" s="43"/>
    </row>
    <row r="33" spans="2:21" ht="23.25" customHeight="1" x14ac:dyDescent="0.35">
      <c r="B33" s="44"/>
      <c r="C33" s="45" t="s">
        <v>45</v>
      </c>
      <c r="D33"/>
      <c r="E33"/>
      <c r="F33"/>
      <c r="G33"/>
      <c r="H33"/>
      <c r="I33"/>
      <c r="J33"/>
      <c r="K33"/>
      <c r="L33"/>
      <c r="M33"/>
      <c r="N33"/>
      <c r="O33"/>
      <c r="P33" s="46"/>
      <c r="R33" s="44"/>
      <c r="S33" s="45" t="s">
        <v>70</v>
      </c>
      <c r="T33"/>
      <c r="U33" s="46"/>
    </row>
    <row r="34" spans="2:21" ht="6.75" customHeight="1" x14ac:dyDescent="0.2">
      <c r="B34" s="44"/>
      <c r="C34" s="48"/>
      <c r="D34"/>
      <c r="E34"/>
      <c r="F34"/>
      <c r="G34"/>
      <c r="H34"/>
      <c r="I34"/>
      <c r="J34"/>
      <c r="K34"/>
      <c r="L34"/>
      <c r="M34"/>
      <c r="N34"/>
      <c r="O34"/>
      <c r="P34" s="46"/>
      <c r="R34" s="44"/>
      <c r="S34" s="48"/>
      <c r="T34"/>
      <c r="U34" s="46"/>
    </row>
    <row r="35" spans="2:21" ht="18" customHeight="1" thickBot="1" x14ac:dyDescent="0.3">
      <c r="B35" s="44"/>
      <c r="C35" s="48"/>
      <c r="D35" s="50" t="s">
        <v>21</v>
      </c>
      <c r="E35" s="50" t="s">
        <v>22</v>
      </c>
      <c r="F35" s="50" t="s">
        <v>23</v>
      </c>
      <c r="G35" s="50" t="s">
        <v>24</v>
      </c>
      <c r="H35" s="50" t="s">
        <v>25</v>
      </c>
      <c r="I35" s="50" t="s">
        <v>26</v>
      </c>
      <c r="J35" s="50" t="s">
        <v>27</v>
      </c>
      <c r="K35" s="50" t="s">
        <v>28</v>
      </c>
      <c r="L35" s="50" t="s">
        <v>29</v>
      </c>
      <c r="M35" s="50" t="s">
        <v>30</v>
      </c>
      <c r="N35" s="50" t="s">
        <v>31</v>
      </c>
      <c r="O35" s="50" t="s">
        <v>32</v>
      </c>
      <c r="P35" s="46"/>
      <c r="R35" s="44"/>
      <c r="S35" s="48"/>
      <c r="T35" s="48"/>
      <c r="U35" s="46"/>
    </row>
    <row r="36" spans="2:21" ht="15" customHeight="1" thickTop="1" x14ac:dyDescent="0.2">
      <c r="B36" s="44"/>
      <c r="C36" s="48" t="s">
        <v>34</v>
      </c>
      <c r="D36" s="2">
        <v>5.35</v>
      </c>
      <c r="E36" s="2">
        <v>5.35</v>
      </c>
      <c r="F36" s="2">
        <v>5.35</v>
      </c>
      <c r="G36" s="2">
        <v>5.35</v>
      </c>
      <c r="H36" s="2">
        <v>5.35</v>
      </c>
      <c r="I36" s="2">
        <v>5.35</v>
      </c>
      <c r="J36" s="2">
        <v>5.35</v>
      </c>
      <c r="K36" s="2">
        <v>5.35</v>
      </c>
      <c r="L36" s="2">
        <v>5.35</v>
      </c>
      <c r="M36" s="2">
        <v>5.35</v>
      </c>
      <c r="N36" s="2">
        <v>5.35</v>
      </c>
      <c r="O36" s="2">
        <v>5.35</v>
      </c>
      <c r="P36" s="46"/>
      <c r="R36" s="44"/>
      <c r="S36" s="48"/>
      <c r="T36" s="48"/>
      <c r="U36" s="46"/>
    </row>
    <row r="37" spans="2:21" ht="15" customHeight="1" x14ac:dyDescent="0.2">
      <c r="B37" s="44"/>
      <c r="C37" s="48" t="s">
        <v>35</v>
      </c>
      <c r="D37" s="32">
        <f>D20</f>
        <v>4.3529999999999998</v>
      </c>
      <c r="E37" s="32">
        <f t="shared" ref="E37:O37" si="1">E20</f>
        <v>4.2919999999999998</v>
      </c>
      <c r="F37" s="32">
        <f t="shared" si="1"/>
        <v>4.29</v>
      </c>
      <c r="G37" s="32">
        <f t="shared" si="1"/>
        <v>4.5309999999999997</v>
      </c>
      <c r="H37" s="32">
        <f t="shared" si="1"/>
        <v>4.3490000000000002</v>
      </c>
      <c r="I37" s="32">
        <f t="shared" si="1"/>
        <v>4.3630000000000004</v>
      </c>
      <c r="J37" s="32">
        <f t="shared" si="1"/>
        <v>4.2240000000000002</v>
      </c>
      <c r="K37" s="32">
        <f t="shared" si="1"/>
        <v>4.2169999999999996</v>
      </c>
      <c r="L37" s="32">
        <f t="shared" si="1"/>
        <v>4.4850000000000003</v>
      </c>
      <c r="M37" s="32">
        <f t="shared" si="1"/>
        <v>4.4560000000000004</v>
      </c>
      <c r="N37" s="32">
        <f t="shared" si="1"/>
        <v>4.4569999999999999</v>
      </c>
      <c r="O37" s="32">
        <f t="shared" si="1"/>
        <v>4.57</v>
      </c>
      <c r="P37" s="46"/>
      <c r="R37" s="44"/>
      <c r="S37" s="48"/>
      <c r="T37" s="48"/>
      <c r="U37" s="46"/>
    </row>
    <row r="38" spans="2:21" ht="22.5" customHeight="1" x14ac:dyDescent="0.2">
      <c r="B38" s="44"/>
      <c r="C38" s="48"/>
      <c r="D38" s="61" t="str">
        <f>IF(ISBLANK(D36),"",IF(D37&gt;D36,"RP &lt; Pmax",IF(SUM(D18:D19)&gt;D36,"RP &lt; RK","")))</f>
        <v/>
      </c>
      <c r="E38" s="61" t="str">
        <f t="shared" ref="E38:O38" si="2">IF(ISBLANK(E36),"",IF(E37&gt;E36,"RP &lt; Pmax",IF(SUM(E18:E19)&gt;E36,"RP &lt; RK","")))</f>
        <v/>
      </c>
      <c r="F38" s="61" t="str">
        <f t="shared" si="2"/>
        <v/>
      </c>
      <c r="G38" s="61" t="str">
        <f t="shared" si="2"/>
        <v/>
      </c>
      <c r="H38" s="61" t="str">
        <f t="shared" si="2"/>
        <v/>
      </c>
      <c r="I38" s="61" t="str">
        <f t="shared" si="2"/>
        <v/>
      </c>
      <c r="J38" s="61" t="str">
        <f t="shared" si="2"/>
        <v/>
      </c>
      <c r="K38" s="61" t="str">
        <f t="shared" si="2"/>
        <v/>
      </c>
      <c r="L38" s="61" t="str">
        <f t="shared" si="2"/>
        <v/>
      </c>
      <c r="M38" s="61" t="str">
        <f t="shared" si="2"/>
        <v/>
      </c>
      <c r="N38" s="61" t="str">
        <f t="shared" si="2"/>
        <v/>
      </c>
      <c r="O38" s="61" t="str">
        <f t="shared" si="2"/>
        <v/>
      </c>
      <c r="P38" s="46"/>
      <c r="R38" s="44"/>
      <c r="S38" s="48"/>
      <c r="T38" s="48"/>
      <c r="U38" s="46"/>
    </row>
    <row r="39" spans="2:21" ht="15" customHeight="1" thickBot="1" x14ac:dyDescent="0.3">
      <c r="B39" s="44"/>
      <c r="C39" s="48"/>
      <c r="D39" s="40" t="s">
        <v>0</v>
      </c>
      <c r="E39"/>
      <c r="F39"/>
      <c r="G39"/>
      <c r="H39"/>
      <c r="I39"/>
      <c r="J39"/>
      <c r="K39"/>
      <c r="L39"/>
      <c r="M39"/>
      <c r="N39"/>
      <c r="O39"/>
      <c r="P39" s="46"/>
      <c r="R39" s="44"/>
      <c r="S39" s="48"/>
      <c r="T39" s="48"/>
      <c r="U39" s="46"/>
    </row>
    <row r="40" spans="2:21" ht="15" customHeight="1" thickTop="1" x14ac:dyDescent="0.2">
      <c r="B40" s="44"/>
      <c r="C40" s="48" t="s">
        <v>38</v>
      </c>
      <c r="D40" s="48" t="str">
        <f>IF(((VLOOKUP(CONCATENATE($D$6,$D$7),Ceník!$A$20:$G$27,4,0)*D36+VLOOKUP(CONCATENATE($D$6,$D$7),Ceník!$A$20:$G$27,6,0)*D37)&lt;(VLOOKUP(CONCATENATE($D$6,$D$7),Ceník!$A$20:$G$27,5,0)*D36+VLOOKUP(CONCATENATE($D$6,$D$7),Ceník!$A$20:$G$27,7,0)*D37)),"T1","T2")</f>
        <v>T1</v>
      </c>
      <c r="E40" s="48" t="str">
        <f>IF(((VLOOKUP(CONCATENATE($D$6,$D$7),Ceník!$A$20:$G$27,4,0)*E36+VLOOKUP(CONCATENATE($D$6,$D$7),Ceník!$A$20:$G$27,6,0)*E37)&lt;(VLOOKUP(CONCATENATE($D$6,$D$7),Ceník!$A$20:$G$27,5,0)*E36+VLOOKUP(CONCATENATE($D$6,$D$7),Ceník!$A$20:$G$27,7,0)*E37)),"T1","T2")</f>
        <v>T2</v>
      </c>
      <c r="F40" s="48" t="str">
        <f>IF(((VLOOKUP(CONCATENATE($D$6,$D$7),Ceník!$A$20:$G$27,4,0)*F36+VLOOKUP(CONCATENATE($D$6,$D$7),Ceník!$A$20:$G$27,6,0)*F37)&lt;(VLOOKUP(CONCATENATE($D$6,$D$7),Ceník!$A$20:$G$27,5,0)*F36+VLOOKUP(CONCATENATE($D$6,$D$7),Ceník!$A$20:$G$27,7,0)*F37)),"T1","T2")</f>
        <v>T2</v>
      </c>
      <c r="G40" s="48" t="str">
        <f>IF(((VLOOKUP(CONCATENATE($D$6,$D$7),Ceník!$A$20:$G$27,4,0)*G36+VLOOKUP(CONCATENATE($D$6,$D$7),Ceník!$A$20:$G$27,6,0)*G37)&lt;(VLOOKUP(CONCATENATE($D$6,$D$7),Ceník!$A$20:$G$27,5,0)*G36+VLOOKUP(CONCATENATE($D$6,$D$7),Ceník!$A$20:$G$27,7,0)*G37)),"T1","T2")</f>
        <v>T1</v>
      </c>
      <c r="H40" s="48" t="str">
        <f>IF(((VLOOKUP(CONCATENATE($D$6,$D$7),Ceník!$A$20:$G$27,4,0)*H36+VLOOKUP(CONCATENATE($D$6,$D$7),Ceník!$A$20:$G$27,6,0)*H37)&lt;(VLOOKUP(CONCATENATE($D$6,$D$7),Ceník!$A$20:$G$27,5,0)*H36+VLOOKUP(CONCATENATE($D$6,$D$7),Ceník!$A$20:$G$27,7,0)*H37)),"T1","T2")</f>
        <v>T1</v>
      </c>
      <c r="I40" s="48" t="str">
        <f>IF(((VLOOKUP(CONCATENATE($D$6,$D$7),Ceník!$A$20:$G$27,4,0)*I36+VLOOKUP(CONCATENATE($D$6,$D$7),Ceník!$A$20:$G$27,6,0)*I37)&lt;(VLOOKUP(CONCATENATE($D$6,$D$7),Ceník!$A$20:$G$27,5,0)*I36+VLOOKUP(CONCATENATE($D$6,$D$7),Ceník!$A$20:$G$27,7,0)*I37)),"T1","T2")</f>
        <v>T1</v>
      </c>
      <c r="J40" s="48" t="str">
        <f>IF(((VLOOKUP(CONCATENATE($D$6,$D$7),Ceník!$A$20:$G$27,4,0)*J36+VLOOKUP(CONCATENATE($D$6,$D$7),Ceník!$A$20:$G$27,6,0)*J37)&lt;(VLOOKUP(CONCATENATE($D$6,$D$7),Ceník!$A$20:$G$27,5,0)*J36+VLOOKUP(CONCATENATE($D$6,$D$7),Ceník!$A$20:$G$27,7,0)*J37)),"T1","T2")</f>
        <v>T2</v>
      </c>
      <c r="K40" s="48" t="str">
        <f>IF(((VLOOKUP(CONCATENATE($D$6,$D$7),Ceník!$A$20:$G$27,4,0)*K36+VLOOKUP(CONCATENATE($D$6,$D$7),Ceník!$A$20:$G$27,6,0)*K37)&lt;(VLOOKUP(CONCATENATE($D$6,$D$7),Ceník!$A$20:$G$27,5,0)*K36+VLOOKUP(CONCATENATE($D$6,$D$7),Ceník!$A$20:$G$27,7,0)*K37)),"T1","T2")</f>
        <v>T2</v>
      </c>
      <c r="L40" s="48" t="str">
        <f>IF(((VLOOKUP(CONCATENATE($D$6,$D$7),Ceník!$A$20:$G$27,4,0)*L36+VLOOKUP(CONCATENATE($D$6,$D$7),Ceník!$A$20:$G$27,6,0)*L37)&lt;(VLOOKUP(CONCATENATE($D$6,$D$7),Ceník!$A$20:$G$27,5,0)*L36+VLOOKUP(CONCATENATE($D$6,$D$7),Ceník!$A$20:$G$27,7,0)*L37)),"T1","T2")</f>
        <v>T1</v>
      </c>
      <c r="M40" s="48" t="str">
        <f>IF(((VLOOKUP(CONCATENATE($D$6,$D$7),Ceník!$A$20:$G$27,4,0)*M36+VLOOKUP(CONCATENATE($D$6,$D$7),Ceník!$A$20:$G$27,6,0)*M37)&lt;(VLOOKUP(CONCATENATE($D$6,$D$7),Ceník!$A$20:$G$27,5,0)*M36+VLOOKUP(CONCATENATE($D$6,$D$7),Ceník!$A$20:$G$27,7,0)*M37)),"T1","T2")</f>
        <v>T1</v>
      </c>
      <c r="N40" s="48" t="str">
        <f>IF(((VLOOKUP(CONCATENATE($D$6,$D$7),Ceník!$A$20:$G$27,4,0)*N36+VLOOKUP(CONCATENATE($D$6,$D$7),Ceník!$A$20:$G$27,6,0)*N37)&lt;(VLOOKUP(CONCATENATE($D$6,$D$7),Ceník!$A$20:$G$27,5,0)*N36+VLOOKUP(CONCATENATE($D$6,$D$7),Ceník!$A$20:$G$27,7,0)*N37)),"T1","T2")</f>
        <v>T1</v>
      </c>
      <c r="O40" s="48" t="str">
        <f>IF(((VLOOKUP(CONCATENATE($D$6,$D$7),Ceník!$A$20:$G$27,4,0)*O36+VLOOKUP(CONCATENATE($D$6,$D$7),Ceník!$A$20:$G$27,6,0)*O37)&lt;(VLOOKUP(CONCATENATE($D$6,$D$7),Ceník!$A$20:$G$27,5,0)*O36+VLOOKUP(CONCATENATE($D$6,$D$7),Ceník!$A$20:$G$27,7,0)*O37)),"T1","T2")</f>
        <v>T1</v>
      </c>
      <c r="P40" s="46"/>
      <c r="R40" s="44"/>
      <c r="S40" s="48"/>
      <c r="T40" s="48"/>
      <c r="U40" s="46"/>
    </row>
    <row r="41" spans="2:21" ht="15" customHeight="1" x14ac:dyDescent="0.2">
      <c r="B41" s="44"/>
      <c r="C41" s="48" t="s">
        <v>36</v>
      </c>
      <c r="D41" s="33">
        <f>IF(D40="T1",VLOOKUP(CONCATENATE($D$6,$D$7),Ceník!$A$20:$G$27,4,0),VLOOKUP(CONCATENATE($D$6,$D$7),Ceník!$A$20:$G$27,5,0))</f>
        <v>190133</v>
      </c>
      <c r="E41" s="33">
        <f>IF(E40="T1",VLOOKUP(CONCATENATE($D$6,$D$7),Ceník!$A$20:$G$27,4,0),VLOOKUP(CONCATENATE($D$6,$D$7),Ceník!$A$20:$G$27,5,0))</f>
        <v>22743</v>
      </c>
      <c r="F41" s="33">
        <f>IF(F40="T1",VLOOKUP(CONCATENATE($D$6,$D$7),Ceník!$A$20:$G$27,4,0),VLOOKUP(CONCATENATE($D$6,$D$7),Ceník!$A$20:$G$27,5,0))</f>
        <v>22743</v>
      </c>
      <c r="G41" s="33">
        <f>IF(G40="T1",VLOOKUP(CONCATENATE($D$6,$D$7),Ceník!$A$20:$G$27,4,0),VLOOKUP(CONCATENATE($D$6,$D$7),Ceník!$A$20:$G$27,5,0))</f>
        <v>190133</v>
      </c>
      <c r="H41" s="33">
        <f>IF(H40="T1",VLOOKUP(CONCATENATE($D$6,$D$7),Ceník!$A$20:$G$27,4,0),VLOOKUP(CONCATENATE($D$6,$D$7),Ceník!$A$20:$G$27,5,0))</f>
        <v>190133</v>
      </c>
      <c r="I41" s="33">
        <f>IF(I40="T1",VLOOKUP(CONCATENATE($D$6,$D$7),Ceník!$A$20:$G$27,4,0),VLOOKUP(CONCATENATE($D$6,$D$7),Ceník!$A$20:$G$27,5,0))</f>
        <v>190133</v>
      </c>
      <c r="J41" s="33">
        <f>IF(J40="T1",VLOOKUP(CONCATENATE($D$6,$D$7),Ceník!$A$20:$G$27,4,0),VLOOKUP(CONCATENATE($D$6,$D$7),Ceník!$A$20:$G$27,5,0))</f>
        <v>22743</v>
      </c>
      <c r="K41" s="33">
        <f>IF(K40="T1",VLOOKUP(CONCATENATE($D$6,$D$7),Ceník!$A$20:$G$27,4,0),VLOOKUP(CONCATENATE($D$6,$D$7),Ceník!$A$20:$G$27,5,0))</f>
        <v>22743</v>
      </c>
      <c r="L41" s="33">
        <f>IF(L40="T1",VLOOKUP(CONCATENATE($D$6,$D$7),Ceník!$A$20:$G$27,4,0),VLOOKUP(CONCATENATE($D$6,$D$7),Ceník!$A$20:$G$27,5,0))</f>
        <v>190133</v>
      </c>
      <c r="M41" s="33">
        <f>IF(M40="T1",VLOOKUP(CONCATENATE($D$6,$D$7),Ceník!$A$20:$G$27,4,0),VLOOKUP(CONCATENATE($D$6,$D$7),Ceník!$A$20:$G$27,5,0))</f>
        <v>190133</v>
      </c>
      <c r="N41" s="33">
        <f>IF(N40="T1",VLOOKUP(CONCATENATE($D$6,$D$7),Ceník!$A$20:$G$27,4,0),VLOOKUP(CONCATENATE($D$6,$D$7),Ceník!$A$20:$G$27,5,0))</f>
        <v>190133</v>
      </c>
      <c r="O41" s="33">
        <f>IF(O40="T1",VLOOKUP(CONCATENATE($D$6,$D$7),Ceník!$A$20:$G$27,4,0),VLOOKUP(CONCATENATE($D$6,$D$7),Ceník!$A$20:$G$27,5,0))</f>
        <v>190133</v>
      </c>
      <c r="P41" s="46"/>
      <c r="R41" s="44"/>
      <c r="S41" s="48"/>
      <c r="T41" s="48"/>
      <c r="U41" s="46"/>
    </row>
    <row r="42" spans="2:21" ht="15" customHeight="1" x14ac:dyDescent="0.2">
      <c r="B42" s="44"/>
      <c r="C42" s="48" t="s">
        <v>37</v>
      </c>
      <c r="D42" s="33">
        <f>IF(D40="T1",VLOOKUP(CONCATENATE($D$6,$D$7),Ceník!$A$20:$G$27,6,0),VLOOKUP(CONCATENATE($D$6,$D$7),Ceník!$A$20:$G$27,7,0))</f>
        <v>19013</v>
      </c>
      <c r="E42" s="33">
        <f>IF(E40="T1",VLOOKUP(CONCATENATE($D$6,$D$7),Ceník!$A$20:$G$27,6,0),VLOOKUP(CONCATENATE($D$6,$D$7),Ceník!$A$20:$G$27,7,0))</f>
        <v>227429</v>
      </c>
      <c r="F42" s="33">
        <f>IF(F40="T1",VLOOKUP(CONCATENATE($D$6,$D$7),Ceník!$A$20:$G$27,6,0),VLOOKUP(CONCATENATE($D$6,$D$7),Ceník!$A$20:$G$27,7,0))</f>
        <v>227429</v>
      </c>
      <c r="G42" s="33">
        <f>IF(G40="T1",VLOOKUP(CONCATENATE($D$6,$D$7),Ceník!$A$20:$G$27,6,0),VLOOKUP(CONCATENATE($D$6,$D$7),Ceník!$A$20:$G$27,7,0))</f>
        <v>19013</v>
      </c>
      <c r="H42" s="33">
        <f>IF(H40="T1",VLOOKUP(CONCATENATE($D$6,$D$7),Ceník!$A$20:$G$27,6,0),VLOOKUP(CONCATENATE($D$6,$D$7),Ceník!$A$20:$G$27,7,0))</f>
        <v>19013</v>
      </c>
      <c r="I42" s="33">
        <f>IF(I40="T1",VLOOKUP(CONCATENATE($D$6,$D$7),Ceník!$A$20:$G$27,6,0),VLOOKUP(CONCATENATE($D$6,$D$7),Ceník!$A$20:$G$27,7,0))</f>
        <v>19013</v>
      </c>
      <c r="J42" s="33">
        <f>IF(J40="T1",VLOOKUP(CONCATENATE($D$6,$D$7),Ceník!$A$20:$G$27,6,0),VLOOKUP(CONCATENATE($D$6,$D$7),Ceník!$A$20:$G$27,7,0))</f>
        <v>227429</v>
      </c>
      <c r="K42" s="33">
        <f>IF(K40="T1",VLOOKUP(CONCATENATE($D$6,$D$7),Ceník!$A$20:$G$27,6,0),VLOOKUP(CONCATENATE($D$6,$D$7),Ceník!$A$20:$G$27,7,0))</f>
        <v>227429</v>
      </c>
      <c r="L42" s="33">
        <f>IF(L40="T1",VLOOKUP(CONCATENATE($D$6,$D$7),Ceník!$A$20:$G$27,6,0),VLOOKUP(CONCATENATE($D$6,$D$7),Ceník!$A$20:$G$27,7,0))</f>
        <v>19013</v>
      </c>
      <c r="M42" s="33">
        <f>IF(M40="T1",VLOOKUP(CONCATENATE($D$6,$D$7),Ceník!$A$20:$G$27,6,0),VLOOKUP(CONCATENATE($D$6,$D$7),Ceník!$A$20:$G$27,7,0))</f>
        <v>19013</v>
      </c>
      <c r="N42" s="33">
        <f>IF(N40="T1",VLOOKUP(CONCATENATE($D$6,$D$7),Ceník!$A$20:$G$27,6,0),VLOOKUP(CONCATENATE($D$6,$D$7),Ceník!$A$20:$G$27,7,0))</f>
        <v>19013</v>
      </c>
      <c r="O42" s="33">
        <f>IF(O40="T1",VLOOKUP(CONCATENATE($D$6,$D$7),Ceník!$A$20:$G$27,6,0),VLOOKUP(CONCATENATE($D$6,$D$7),Ceník!$A$20:$G$27,7,0))</f>
        <v>19013</v>
      </c>
      <c r="P42" s="46"/>
      <c r="R42" s="44"/>
      <c r="S42" s="48"/>
      <c r="T42" s="48"/>
      <c r="U42" s="46"/>
    </row>
    <row r="43" spans="2:21" ht="15" customHeight="1" x14ac:dyDescent="0.2">
      <c r="B43" s="44"/>
      <c r="C43" s="48" t="s">
        <v>11</v>
      </c>
      <c r="D43" s="33">
        <f>VLOOKUP(CONCATENATE($D$6,$D$7),Ceník!$A$20:$H$27,8,0)</f>
        <v>106.66</v>
      </c>
      <c r="E43"/>
      <c r="F43"/>
      <c r="G43"/>
      <c r="H43"/>
      <c r="I43"/>
      <c r="J43"/>
      <c r="K43"/>
      <c r="L43"/>
      <c r="M43"/>
      <c r="N43"/>
      <c r="O43"/>
      <c r="P43" s="46"/>
      <c r="R43" s="44"/>
      <c r="S43" s="48"/>
      <c r="T43" s="48"/>
      <c r="U43" s="46"/>
    </row>
    <row r="44" spans="2:21" ht="15" customHeight="1" x14ac:dyDescent="0.2">
      <c r="B44" s="44"/>
      <c r="C44" s="48"/>
      <c r="D44"/>
      <c r="E44"/>
      <c r="F44"/>
      <c r="G44"/>
      <c r="H44"/>
      <c r="I44"/>
      <c r="J44"/>
      <c r="K44"/>
      <c r="L44"/>
      <c r="M44"/>
      <c r="N44"/>
      <c r="O44"/>
      <c r="P44" s="46"/>
      <c r="R44" s="44"/>
      <c r="S44" s="48"/>
      <c r="T44" s="48"/>
      <c r="U44" s="46"/>
    </row>
    <row r="45" spans="2:21" ht="15" customHeight="1" x14ac:dyDescent="0.25">
      <c r="B45" s="44"/>
      <c r="C45" s="48"/>
      <c r="D45" s="34" t="s">
        <v>57</v>
      </c>
      <c r="E45"/>
      <c r="F45"/>
      <c r="G45"/>
      <c r="H45"/>
      <c r="I45"/>
      <c r="J45"/>
      <c r="K45"/>
      <c r="L45"/>
      <c r="M45"/>
      <c r="N45"/>
      <c r="O45"/>
      <c r="P45" s="46"/>
      <c r="R45" s="44"/>
      <c r="S45" s="48"/>
      <c r="T45" s="48"/>
      <c r="U45" s="46"/>
    </row>
    <row r="46" spans="2:21" ht="15" customHeight="1" thickBot="1" x14ac:dyDescent="0.3">
      <c r="B46" s="44"/>
      <c r="C46" s="48"/>
      <c r="D46" s="50" t="s">
        <v>21</v>
      </c>
      <c r="E46" s="50" t="s">
        <v>22</v>
      </c>
      <c r="F46" s="50" t="s">
        <v>23</v>
      </c>
      <c r="G46" s="50" t="s">
        <v>24</v>
      </c>
      <c r="H46" s="50" t="s">
        <v>25</v>
      </c>
      <c r="I46" s="50" t="s">
        <v>26</v>
      </c>
      <c r="J46" s="50" t="s">
        <v>27</v>
      </c>
      <c r="K46" s="50" t="s">
        <v>28</v>
      </c>
      <c r="L46" s="50" t="s">
        <v>29</v>
      </c>
      <c r="M46" s="50" t="s">
        <v>30</v>
      </c>
      <c r="N46" s="50" t="s">
        <v>31</v>
      </c>
      <c r="O46" s="50" t="s">
        <v>32</v>
      </c>
      <c r="P46" s="46"/>
      <c r="R46" s="44"/>
      <c r="S46" s="48"/>
      <c r="T46" s="48"/>
      <c r="U46" s="46"/>
    </row>
    <row r="47" spans="2:21" ht="15" customHeight="1" thickTop="1" x14ac:dyDescent="0.2">
      <c r="B47" s="44"/>
      <c r="C47" s="48" t="s">
        <v>54</v>
      </c>
      <c r="D47" s="35">
        <f>D36*D41+D37*D42+$D$43*D11</f>
        <v>1101255.0589999999</v>
      </c>
      <c r="E47" s="35">
        <f t="shared" ref="E47:O47" si="3">E36*E41+E37*E42+$D$43*E11</f>
        <v>1298945.3989800001</v>
      </c>
      <c r="F47" s="35">
        <f t="shared" si="3"/>
        <v>1316126.5586599999</v>
      </c>
      <c r="G47" s="35">
        <f t="shared" si="3"/>
        <v>1330747.9069999999</v>
      </c>
      <c r="H47" s="35">
        <f t="shared" si="3"/>
        <v>1315982.9675799999</v>
      </c>
      <c r="I47" s="35">
        <f t="shared" si="3"/>
        <v>1292323.4983599999</v>
      </c>
      <c r="J47" s="35">
        <f t="shared" si="3"/>
        <v>1282897.43674</v>
      </c>
      <c r="K47" s="35">
        <f t="shared" si="3"/>
        <v>1281358.55042</v>
      </c>
      <c r="L47" s="35">
        <f t="shared" si="3"/>
        <v>1296371.50966</v>
      </c>
      <c r="M47" s="35">
        <f t="shared" si="3"/>
        <v>1320019.68676</v>
      </c>
      <c r="N47" s="35">
        <f t="shared" si="3"/>
        <v>1324409.7332199998</v>
      </c>
      <c r="O47" s="35">
        <f t="shared" si="3"/>
        <v>1321317.3564599999</v>
      </c>
      <c r="P47" s="46"/>
      <c r="R47" s="44"/>
      <c r="S47" s="48" t="s">
        <v>68</v>
      </c>
      <c r="T47" s="35">
        <f>D48+12*($T$6+$T$10)+$D$12*($T$7+$T$9+$T$11)</f>
        <v>76300786.083799988</v>
      </c>
      <c r="U47" s="46"/>
    </row>
    <row r="48" spans="2:21" ht="15" customHeight="1" thickBot="1" x14ac:dyDescent="0.3">
      <c r="B48" s="44"/>
      <c r="C48" s="36" t="s">
        <v>33</v>
      </c>
      <c r="D48" s="37">
        <f>SUM(D47:O47)</f>
        <v>15481755.662839999</v>
      </c>
      <c r="E48" s="72" t="str">
        <f>IF(OR(ISBLANK(D36),ISBLANK(E36),ISBLANK(F36),ISBLANK(G36),ISBLANK(H36),ISBLANK(I36),ISBLANK(J36),ISBLANK(K36),ISBLANK(L36),ISBLANK(M36),ISBLANK(N36),ISBLANK(O36)),"",IF(OR(D37&gt;D36,E37&gt;E36,F37&gt;F36,G37&gt;G36,H37&gt;H36,I37&gt;I36,J37&gt;J36,K37&gt;K36,L37&gt;L36,M37&gt;M36,N37&gt;N36,O37&gt;O36),"Není započtena cena za překročení rezervovaného příkonu",""))</f>
        <v/>
      </c>
      <c r="F48"/>
      <c r="G48"/>
      <c r="H48"/>
      <c r="I48"/>
      <c r="J48"/>
      <c r="K48"/>
      <c r="L48"/>
      <c r="M48"/>
      <c r="N48"/>
      <c r="O48"/>
      <c r="P48" s="46"/>
      <c r="R48" s="44"/>
      <c r="S48" s="36" t="s">
        <v>69</v>
      </c>
      <c r="T48" s="37">
        <f>T47*1.21</f>
        <v>92323951.161397979</v>
      </c>
      <c r="U48" s="46"/>
    </row>
    <row r="49" spans="2:21" ht="15" customHeight="1" thickTop="1" x14ac:dyDescent="0.25">
      <c r="B49" s="44"/>
      <c r="C49" s="62"/>
      <c r="D49" s="57"/>
      <c r="E49" s="57"/>
      <c r="F49"/>
      <c r="G49"/>
      <c r="H49"/>
      <c r="I49"/>
      <c r="J49"/>
      <c r="K49"/>
      <c r="L49"/>
      <c r="M49"/>
      <c r="N49"/>
      <c r="O49"/>
      <c r="P49" s="46"/>
      <c r="R49" s="44"/>
      <c r="S49" s="62"/>
      <c r="T49" s="57"/>
      <c r="U49" s="46"/>
    </row>
    <row r="50" spans="2:21" ht="15" customHeight="1" x14ac:dyDescent="0.25">
      <c r="B50" s="44"/>
      <c r="C50" s="63" t="s">
        <v>50</v>
      </c>
      <c r="D50" s="38">
        <f>D47-D29</f>
        <v>-112331.58100000001</v>
      </c>
      <c r="E50" s="38">
        <f t="shared" ref="E50:O50" si="4">E47-E29</f>
        <v>-113681.90668000001</v>
      </c>
      <c r="F50" s="38">
        <f t="shared" si="4"/>
        <v>-114064.01156000025</v>
      </c>
      <c r="G50" s="38">
        <f t="shared" si="4"/>
        <v>-108014.51100000017</v>
      </c>
      <c r="H50" s="38">
        <f t="shared" si="4"/>
        <v>-111521.51127999998</v>
      </c>
      <c r="I50" s="38">
        <f t="shared" si="4"/>
        <v>-111354.02876000013</v>
      </c>
      <c r="J50" s="38">
        <f t="shared" si="4"/>
        <v>-129149.48283999995</v>
      </c>
      <c r="K50" s="38">
        <f t="shared" si="4"/>
        <v>-130741.26671999996</v>
      </c>
      <c r="L50" s="38">
        <f t="shared" si="4"/>
        <v>-109027.31255999999</v>
      </c>
      <c r="M50" s="38">
        <f t="shared" si="4"/>
        <v>-109478.86016000016</v>
      </c>
      <c r="N50" s="38">
        <f t="shared" si="4"/>
        <v>-109441.81552000018</v>
      </c>
      <c r="O50" s="38">
        <f t="shared" si="4"/>
        <v>-107314.96635999996</v>
      </c>
      <c r="P50" s="46"/>
      <c r="R50" s="44"/>
      <c r="S50" s="63" t="s">
        <v>71</v>
      </c>
      <c r="T50" s="38">
        <f>T48-T30</f>
        <v>-1653006.717872411</v>
      </c>
      <c r="U50" s="46"/>
    </row>
    <row r="51" spans="2:21" ht="15" customHeight="1" x14ac:dyDescent="0.35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R51" s="44"/>
      <c r="S51" s="48"/>
      <c r="T51" s="48"/>
      <c r="U51" s="46"/>
    </row>
    <row r="52" spans="2:21" ht="15" customHeight="1" x14ac:dyDescent="0.35">
      <c r="B52" s="44"/>
      <c r="C52" s="45"/>
      <c r="D52" s="73" t="str">
        <f>IF(AND(SUM(D37:O37)&gt;0,O36&gt;0),CONCATENATE("Zadaný podíl rezervovaného příkonu k 31.12. a maximálního naměřeného odebraného výkonu v roce je ",ROUND(O36/MAX(D37:O37),1)),"")</f>
        <v>Zadaný podíl rezervovaného příkonu k 31.12. a maximálního naměřeného odebraného výkonu v roce je 1,2</v>
      </c>
      <c r="E52" s="74"/>
      <c r="F52" s="74"/>
      <c r="G52" s="74"/>
      <c r="H52" s="74"/>
      <c r="I52" s="74"/>
      <c r="J52" s="74"/>
      <c r="K52" s="74"/>
      <c r="L52" s="74"/>
      <c r="M52" s="74"/>
      <c r="N52" s="45"/>
      <c r="O52" s="45"/>
      <c r="P52" s="46"/>
      <c r="R52" s="44"/>
      <c r="S52" s="48"/>
      <c r="T52" s="48"/>
      <c r="U52" s="46"/>
    </row>
    <row r="53" spans="2:21" ht="15" customHeight="1" x14ac:dyDescent="0.35">
      <c r="B53" s="44"/>
      <c r="C53" s="45"/>
      <c r="D53" s="75" t="str">
        <f>IF(ISERROR(O36/MAX(D37:O37)),"",IF((O36/MAX(D37:O37))&gt;2.5,"Doporučujeme zvážit optimalizaci hodnoty rezervovaného příkonu pro snížení platby - více viz Manuál pro zákazníka na webu ERÚ",""))</f>
        <v/>
      </c>
      <c r="E53" s="76"/>
      <c r="F53" s="76"/>
      <c r="G53" s="76"/>
      <c r="H53" s="76"/>
      <c r="I53" s="76"/>
      <c r="J53" s="76"/>
      <c r="K53" s="76"/>
      <c r="L53" s="76"/>
      <c r="M53" s="76"/>
      <c r="N53" s="45"/>
      <c r="O53" s="45"/>
      <c r="P53" s="46"/>
      <c r="R53" s="44"/>
      <c r="S53" s="48"/>
      <c r="T53" s="48"/>
      <c r="U53" s="46"/>
    </row>
    <row r="54" spans="2:21" ht="15" customHeight="1" x14ac:dyDescent="0.35">
      <c r="B54" s="44"/>
      <c r="C54" s="45"/>
      <c r="D54" s="73" t="str">
        <f>IF(OR(D53="",SUM($D$36:$O$36)&lt;&gt;12*MAX($D$36:$O$36)),"",CONCATENATE("Při snížení podílu na 2-násobek (na rezervovaný příkon ",2*MAX($D$37:$O$37)," MW) bude roční platba nižší o hodnotu ",TEXT($D$48-2*MAX($D$37:$O$37)*12*VLOOKUP(CONCATENATE($D$6,$D$7),Ceník!$A$20:$H$27,5,0)-SUM($D$37:$O$37)*VLOOKUP(CONCATENATE($D$6,$D$7),Ceník!$A$20:$H$27,7,0)-$D$12*$D$43,"# ##")," Kč"))</f>
        <v/>
      </c>
      <c r="E54" s="74"/>
      <c r="F54" s="74"/>
      <c r="G54" s="74"/>
      <c r="H54" s="74"/>
      <c r="I54" s="74"/>
      <c r="J54" s="74"/>
      <c r="K54" s="74"/>
      <c r="L54" s="74"/>
      <c r="M54" s="74"/>
      <c r="N54" s="45"/>
      <c r="O54" s="45"/>
      <c r="P54" s="46"/>
      <c r="R54" s="44"/>
      <c r="S54" s="48"/>
      <c r="T54" s="48"/>
      <c r="U54" s="46"/>
    </row>
    <row r="55" spans="2:21" ht="15" customHeight="1" x14ac:dyDescent="0.35">
      <c r="B55" s="44"/>
      <c r="C55" s="45"/>
      <c r="D55" s="73" t="str">
        <f>IF(OR(D53="",SUM($D$36:$O$36)&lt;&gt;12*MAX($D$36:$O$36)),"",CONCATENATE("Při snížení podílu na 1,5-násobek (na rezervovaný příkon ",ROUND(1.5*MAX($D$37:$O$37),3)," MW) bude roční platba nižší o hodnotu ",TEXT($D$48-ROUND(1.5*MAX($D$37:$O$37),3)*12*VLOOKUP(CONCATENATE($D$6,$D$7),Ceník!$A$20:$H$27,5,0)-SUM($D$37:$O$37)*VLOOKUP(CONCATENATE($D$6,$D$7),Ceník!$A$20:$H$27,7,0)-$D$12*$D$43,"# ##")," Kč"))</f>
        <v/>
      </c>
      <c r="E55" s="74"/>
      <c r="F55" s="74"/>
      <c r="G55" s="74"/>
      <c r="H55" s="74"/>
      <c r="I55" s="74"/>
      <c r="J55" s="74"/>
      <c r="K55" s="74"/>
      <c r="L55" s="74"/>
      <c r="M55" s="74"/>
      <c r="N55" s="45"/>
      <c r="O55" s="45"/>
      <c r="P55" s="46"/>
      <c r="R55" s="44"/>
      <c r="S55" s="48"/>
      <c r="T55" s="48"/>
      <c r="U55" s="46"/>
    </row>
    <row r="56" spans="2:21" ht="15.75" thickBot="1" x14ac:dyDescent="0.3">
      <c r="B56" s="51"/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4"/>
      <c r="R56" s="51"/>
      <c r="S56" s="58"/>
      <c r="T56" s="59"/>
      <c r="U56" s="54"/>
    </row>
    <row r="57" spans="2:21" ht="15" x14ac:dyDescent="0.25">
      <c r="B57" s="41"/>
      <c r="C57" s="60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43"/>
      <c r="R57" s="41"/>
      <c r="S57" s="60"/>
      <c r="T57" s="56"/>
      <c r="U57" s="43"/>
    </row>
    <row r="58" spans="2:21" ht="23.25" x14ac:dyDescent="0.35">
      <c r="B58" s="44"/>
      <c r="C58" s="64" t="s">
        <v>46</v>
      </c>
      <c r="D58" s="65"/>
      <c r="E58" s="65"/>
      <c r="F58" s="65"/>
      <c r="G58" s="65"/>
      <c r="H58"/>
      <c r="I58"/>
      <c r="J58"/>
      <c r="K58"/>
      <c r="L58"/>
      <c r="M58"/>
      <c r="N58"/>
      <c r="O58"/>
      <c r="P58" s="46"/>
      <c r="R58" s="44"/>
      <c r="S58" s="64" t="s">
        <v>72</v>
      </c>
      <c r="T58" s="65"/>
      <c r="U58" s="46"/>
    </row>
    <row r="59" spans="2:21" ht="6.75" customHeight="1" x14ac:dyDescent="0.35">
      <c r="B59" s="44"/>
      <c r="C59" s="45"/>
      <c r="D59" s="39"/>
      <c r="E59"/>
      <c r="F59"/>
      <c r="G59"/>
      <c r="H59"/>
      <c r="I59"/>
      <c r="J59"/>
      <c r="K59"/>
      <c r="L59"/>
      <c r="M59"/>
      <c r="N59"/>
      <c r="O59"/>
      <c r="P59" s="46"/>
      <c r="R59" s="44"/>
      <c r="S59" s="45"/>
      <c r="T59" s="39"/>
      <c r="U59" s="46"/>
    </row>
    <row r="60" spans="2:21" ht="24" customHeight="1" thickBot="1" x14ac:dyDescent="0.4">
      <c r="B60" s="44"/>
      <c r="C60" s="45"/>
      <c r="D60" s="40" t="s">
        <v>0</v>
      </c>
      <c r="E60"/>
      <c r="F60"/>
      <c r="G60"/>
      <c r="H60"/>
      <c r="I60"/>
      <c r="J60"/>
      <c r="K60"/>
      <c r="L60"/>
      <c r="M60"/>
      <c r="N60"/>
      <c r="O60"/>
      <c r="P60" s="46"/>
      <c r="R60" s="44"/>
      <c r="S60" s="48"/>
      <c r="T60" s="48"/>
      <c r="U60" s="46"/>
    </row>
    <row r="61" spans="2:21" ht="15" thickTop="1" x14ac:dyDescent="0.2">
      <c r="B61" s="44"/>
      <c r="C61" s="48" t="s">
        <v>52</v>
      </c>
      <c r="D61" s="33">
        <f>VLOOKUP(CONCATENATE($D$6,$D$7),Ceník!$A$20:$J$27,10,0)</f>
        <v>5555.18</v>
      </c>
      <c r="E61"/>
      <c r="F61"/>
      <c r="G61"/>
      <c r="H61"/>
      <c r="I61"/>
      <c r="J61"/>
      <c r="K61"/>
      <c r="L61"/>
      <c r="M61"/>
      <c r="N61"/>
      <c r="O61"/>
      <c r="P61" s="46"/>
      <c r="R61" s="44"/>
      <c r="S61" s="48"/>
      <c r="T61" s="48"/>
      <c r="U61" s="46"/>
    </row>
    <row r="62" spans="2:21" x14ac:dyDescent="0.2">
      <c r="B62" s="44"/>
      <c r="C62" s="48"/>
      <c r="D62"/>
      <c r="E62"/>
      <c r="F62"/>
      <c r="G62"/>
      <c r="H62"/>
      <c r="I62"/>
      <c r="J62"/>
      <c r="K62"/>
      <c r="L62"/>
      <c r="M62"/>
      <c r="N62"/>
      <c r="O62"/>
      <c r="P62" s="46"/>
      <c r="R62" s="44"/>
      <c r="S62" s="48"/>
      <c r="T62" s="48"/>
      <c r="U62" s="46"/>
    </row>
    <row r="63" spans="2:21" ht="16.5" x14ac:dyDescent="0.25">
      <c r="B63" s="44"/>
      <c r="C63" s="48"/>
      <c r="D63" s="34" t="s">
        <v>57</v>
      </c>
      <c r="E63"/>
      <c r="F63"/>
      <c r="G63"/>
      <c r="H63"/>
      <c r="I63"/>
      <c r="J63"/>
      <c r="K63"/>
      <c r="L63"/>
      <c r="M63"/>
      <c r="N63"/>
      <c r="O63"/>
      <c r="P63" s="46"/>
      <c r="R63" s="44"/>
      <c r="S63" s="48" t="s">
        <v>68</v>
      </c>
      <c r="T63" s="35">
        <f>D64+12*($T$6+$T$10)+$D$12*($T$7+$T$9+$T$11)</f>
        <v>181113253.53727999</v>
      </c>
      <c r="U63" s="46"/>
    </row>
    <row r="64" spans="2:21" ht="15.75" thickBot="1" x14ac:dyDescent="0.3">
      <c r="B64" s="44"/>
      <c r="C64" s="36" t="s">
        <v>33</v>
      </c>
      <c r="D64" s="37">
        <f>D61*D12</f>
        <v>120294223.11632</v>
      </c>
      <c r="E64" s="14" t="str">
        <f>CONCATENATE(" - vychází výhodněji než klasické ceny pro roční spotřebu nižší než ",ROUND(D48/D61,0)," MWh")</f>
        <v xml:space="preserve"> - vychází výhodněji než klasické ceny pro roční spotřebu nižší než 2787 MWh</v>
      </c>
      <c r="F64"/>
      <c r="G64"/>
      <c r="H64"/>
      <c r="I64"/>
      <c r="J64"/>
      <c r="K64"/>
      <c r="L64"/>
      <c r="M64"/>
      <c r="N64"/>
      <c r="O64"/>
      <c r="P64" s="46"/>
      <c r="R64" s="44"/>
      <c r="S64" s="36" t="s">
        <v>69</v>
      </c>
      <c r="T64" s="37">
        <f>T63*1.21</f>
        <v>219147036.78010878</v>
      </c>
      <c r="U64" s="46"/>
    </row>
    <row r="65" spans="2:21" ht="15.75" thickTop="1" thickBot="1" x14ac:dyDescent="0.25">
      <c r="B65" s="51"/>
      <c r="C65" s="66"/>
      <c r="D65" s="67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54"/>
      <c r="R65" s="51"/>
      <c r="S65" s="66"/>
      <c r="T65" s="67"/>
      <c r="U65" s="54"/>
    </row>
    <row r="68" spans="2:21" x14ac:dyDescent="0.2">
      <c r="H68" s="68"/>
    </row>
  </sheetData>
  <mergeCells count="4">
    <mergeCell ref="D52:M52"/>
    <mergeCell ref="D53:M53"/>
    <mergeCell ref="D54:M54"/>
    <mergeCell ref="D55:M55"/>
  </mergeCells>
  <conditionalFormatting sqref="D52:M55">
    <cfRule type="cellIs" dxfId="2" priority="1" operator="notEqual">
      <formula>""</formula>
    </cfRule>
  </conditionalFormatting>
  <dataValidations count="7">
    <dataValidation type="decimal" operator="greaterThanOrEqual" allowBlank="1" showInputMessage="1" showErrorMessage="1" sqref="D23:D25 D61 D37:O37 E41:O42 D47:O47 D41:D43 D12 T6:T8 T47 T11 T29 T63 D29:O29" xr:uid="{AF1BE56E-2D16-4F60-84CA-3017FA11DC5D}">
      <formula1>0</formula1>
    </dataValidation>
    <dataValidation allowBlank="1" showInputMessage="1" showErrorMessage="1" prompt="Zde vyplňte odebrané množství elektřiny pro příslušný měsíc v MWh" sqref="D11:O11" xr:uid="{89DFEE53-758A-45E6-8975-DB7CBDED922B}"/>
    <dataValidation type="decimal" operator="greaterThanOrEqual" allowBlank="1" showInputMessage="1" showErrorMessage="1" prompt="Zde vyplňte hodnotu roční rezervované kapacity pro příslušný měsíc v MW" sqref="D18:O18" xr:uid="{063E3962-703D-4487-A768-B4F3839C73C1}">
      <formula1>0</formula1>
    </dataValidation>
    <dataValidation type="decimal" operator="greaterThanOrEqual" allowBlank="1" showInputMessage="1" showErrorMessage="1" prompt="Zde vyplňte hodnotu měsíční rezervované kapacity pro příslušný měsíc v MW" sqref="D19:O19" xr:uid="{BE103870-FE15-4692-8A24-81C797D1B68C}">
      <formula1>0</formula1>
    </dataValidation>
    <dataValidation type="decimal" operator="greaterThanOrEqual" allowBlank="1" showInputMessage="1" showErrorMessage="1" prompt="Zde vyplňte hodnotu rezervovaného příkonu dle smlouvy o připojení platné pro příslušný měsíc v MW" sqref="D36:O36" xr:uid="{C8642B2F-1035-4640-B66D-FE9AA54BF4BA}">
      <formula1>0</formula1>
    </dataValidation>
    <dataValidation type="decimal" operator="greaterThanOrEqual" allowBlank="1" showInputMessage="1" showErrorMessage="1" prompt="Zde vyplňte hodnotu maximálního odebraného výkonu v příslušném měsíci v MW" sqref="D20:O20" xr:uid="{6D90A6BD-8216-4A8E-A947-3A4892EDF537}">
      <formula1>0</formula1>
    </dataValidation>
    <dataValidation type="decimal" operator="greaterThanOrEqual" allowBlank="1" showInputMessage="1" showErrorMessage="1" prompt="Zde vyplňte smluvní údaj ze smlouvy s dodavatelem elektřiny" sqref="T9:T10" xr:uid="{B3D4620F-4CA2-4158-9C52-F01A6F5D4560}">
      <formula1>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6B14707-E5CC-4F94-A870-26FE0E545592}">
            <xm:f>Pomocné!#REF!+Pomocné!#REF!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D20:O20</xm:sqref>
        </x14:conditionalFormatting>
        <x14:conditionalFormatting xmlns:xm="http://schemas.microsoft.com/office/excel/2006/main">
          <x14:cfRule type="expression" priority="10" id="{EF897E67-57EA-43E7-9EF2-B09824804F16}">
            <xm:f>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D36:O36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Je nutné zvolit provozovatele distribuční soustavy ze seznamu" xr:uid="{6D81CBDB-B96F-4EA0-BA1C-B1AEAE05F4D3}">
          <x14:formula1>
            <xm:f>Pomocné!$B$3:$B$7</xm:f>
          </x14:formula1>
          <xm:sqref>D6</xm:sqref>
        </x14:dataValidation>
        <x14:dataValidation type="list" allowBlank="1" showInputMessage="1" showErrorMessage="1" prompt="Je nutné zvolit napěťovou hladinu ze seznamu" xr:uid="{D70F3FB7-92FB-4331-87D8-A74619B41C1B}">
          <x14:formula1>
            <xm:f>Pomocné!$D$3:$D$4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C61-A1C1-4A8C-B392-DE6EC71FDE85}">
  <sheetPr codeName="List9"/>
  <dimension ref="A1:J29"/>
  <sheetViews>
    <sheetView zoomScale="80" zoomScaleNormal="80" workbookViewId="0"/>
  </sheetViews>
  <sheetFormatPr defaultRowHeight="14.25" x14ac:dyDescent="0.2"/>
  <cols>
    <col min="1" max="1" width="24.25" bestFit="1" customWidth="1"/>
    <col min="2" max="2" width="42.25" bestFit="1" customWidth="1"/>
    <col min="3" max="10" width="17.75" customWidth="1"/>
    <col min="14" max="257" width="8"/>
    <col min="258" max="258" width="35.75" customWidth="1"/>
    <col min="259" max="261" width="8"/>
    <col min="262" max="262" width="9.375" customWidth="1"/>
    <col min="263" max="513" width="8"/>
    <col min="514" max="514" width="35.75" customWidth="1"/>
    <col min="515" max="517" width="8"/>
    <col min="518" max="518" width="9.375" customWidth="1"/>
    <col min="519" max="769" width="8"/>
    <col min="770" max="770" width="35.75" customWidth="1"/>
    <col min="771" max="773" width="8"/>
    <col min="774" max="774" width="9.375" customWidth="1"/>
    <col min="1026" max="1026" width="35.75" customWidth="1"/>
    <col min="1027" max="1029" width="8"/>
    <col min="1030" max="1030" width="9.375" customWidth="1"/>
    <col min="1031" max="1281" width="8"/>
    <col min="1282" max="1282" width="35.75" customWidth="1"/>
    <col min="1283" max="1285" width="8"/>
    <col min="1286" max="1286" width="9.375" customWidth="1"/>
    <col min="1287" max="1537" width="8"/>
    <col min="1538" max="1538" width="35.75" customWidth="1"/>
    <col min="1539" max="1541" width="8"/>
    <col min="1542" max="1542" width="9.375" customWidth="1"/>
    <col min="1543" max="1793" width="8"/>
    <col min="1794" max="1794" width="35.75" customWidth="1"/>
    <col min="1795" max="1797" width="8"/>
    <col min="1798" max="1798" width="9.375" customWidth="1"/>
    <col min="2050" max="2050" width="35.75" customWidth="1"/>
    <col min="2051" max="2053" width="8"/>
    <col min="2054" max="2054" width="9.375" customWidth="1"/>
    <col min="2055" max="2305" width="8"/>
    <col min="2306" max="2306" width="35.75" customWidth="1"/>
    <col min="2307" max="2309" width="8"/>
    <col min="2310" max="2310" width="9.375" customWidth="1"/>
    <col min="2311" max="2561" width="8"/>
    <col min="2562" max="2562" width="35.75" customWidth="1"/>
    <col min="2563" max="2565" width="8"/>
    <col min="2566" max="2566" width="9.375" customWidth="1"/>
    <col min="2567" max="2817" width="8"/>
    <col min="2818" max="2818" width="35.75" customWidth="1"/>
    <col min="2819" max="2821" width="8"/>
    <col min="2822" max="2822" width="9.375" customWidth="1"/>
    <col min="3074" max="3074" width="35.75" customWidth="1"/>
    <col min="3075" max="3077" width="8"/>
    <col min="3078" max="3078" width="9.375" customWidth="1"/>
    <col min="3079" max="3329" width="8"/>
    <col min="3330" max="3330" width="35.75" customWidth="1"/>
    <col min="3331" max="3333" width="8"/>
    <col min="3334" max="3334" width="9.375" customWidth="1"/>
    <col min="3335" max="3585" width="8"/>
    <col min="3586" max="3586" width="35.75" customWidth="1"/>
    <col min="3587" max="3589" width="8"/>
    <col min="3590" max="3590" width="9.375" customWidth="1"/>
    <col min="3591" max="3841" width="8"/>
    <col min="3842" max="3842" width="35.75" customWidth="1"/>
    <col min="3843" max="3845" width="8"/>
    <col min="3846" max="3846" width="9.375" customWidth="1"/>
    <col min="4098" max="4098" width="35.75" customWidth="1"/>
    <col min="4099" max="4101" width="8"/>
    <col min="4102" max="4102" width="9.375" customWidth="1"/>
    <col min="4103" max="4353" width="8"/>
    <col min="4354" max="4354" width="35.75" customWidth="1"/>
    <col min="4355" max="4357" width="8"/>
    <col min="4358" max="4358" width="9.375" customWidth="1"/>
    <col min="4359" max="4609" width="8"/>
    <col min="4610" max="4610" width="35.75" customWidth="1"/>
    <col min="4611" max="4613" width="8"/>
    <col min="4614" max="4614" width="9.375" customWidth="1"/>
    <col min="4615" max="4865" width="8"/>
    <col min="4866" max="4866" width="35.75" customWidth="1"/>
    <col min="4867" max="4869" width="8"/>
    <col min="4870" max="4870" width="9.375" customWidth="1"/>
    <col min="5122" max="5122" width="35.75" customWidth="1"/>
    <col min="5123" max="5125" width="8"/>
    <col min="5126" max="5126" width="9.375" customWidth="1"/>
    <col min="5127" max="5377" width="8"/>
    <col min="5378" max="5378" width="35.75" customWidth="1"/>
    <col min="5379" max="5381" width="8"/>
    <col min="5382" max="5382" width="9.375" customWidth="1"/>
    <col min="5383" max="5633" width="8"/>
    <col min="5634" max="5634" width="35.75" customWidth="1"/>
    <col min="5635" max="5637" width="8"/>
    <col min="5638" max="5638" width="9.375" customWidth="1"/>
    <col min="5639" max="5889" width="8"/>
    <col min="5890" max="5890" width="35.75" customWidth="1"/>
    <col min="5891" max="5893" width="8"/>
    <col min="5894" max="5894" width="9.375" customWidth="1"/>
    <col min="6146" max="6146" width="35.75" customWidth="1"/>
    <col min="6147" max="6149" width="8"/>
    <col min="6150" max="6150" width="9.375" customWidth="1"/>
    <col min="6151" max="6401" width="8"/>
    <col min="6402" max="6402" width="35.75" customWidth="1"/>
    <col min="6403" max="6405" width="8"/>
    <col min="6406" max="6406" width="9.375" customWidth="1"/>
    <col min="6407" max="6657" width="8"/>
    <col min="6658" max="6658" width="35.75" customWidth="1"/>
    <col min="6659" max="6661" width="8"/>
    <col min="6662" max="6662" width="9.375" customWidth="1"/>
    <col min="6663" max="6913" width="8"/>
    <col min="6914" max="6914" width="35.75" customWidth="1"/>
    <col min="6915" max="6917" width="8"/>
    <col min="6918" max="6918" width="9.375" customWidth="1"/>
    <col min="7170" max="7170" width="35.75" customWidth="1"/>
    <col min="7171" max="7173" width="8"/>
    <col min="7174" max="7174" width="9.375" customWidth="1"/>
    <col min="7175" max="7425" width="8"/>
    <col min="7426" max="7426" width="35.75" customWidth="1"/>
    <col min="7427" max="7429" width="8"/>
    <col min="7430" max="7430" width="9.375" customWidth="1"/>
    <col min="7431" max="7681" width="8"/>
    <col min="7682" max="7682" width="35.75" customWidth="1"/>
    <col min="7683" max="7685" width="8"/>
    <col min="7686" max="7686" width="9.375" customWidth="1"/>
    <col min="7687" max="7937" width="8"/>
    <col min="7938" max="7938" width="35.75" customWidth="1"/>
    <col min="7939" max="7941" width="8"/>
    <col min="7942" max="7942" width="9.375" customWidth="1"/>
    <col min="8194" max="8194" width="35.75" customWidth="1"/>
    <col min="8195" max="8197" width="8"/>
    <col min="8198" max="8198" width="9.375" customWidth="1"/>
    <col min="8199" max="8449" width="8"/>
    <col min="8450" max="8450" width="35.75" customWidth="1"/>
    <col min="8451" max="8453" width="8"/>
    <col min="8454" max="8454" width="9.375" customWidth="1"/>
    <col min="8455" max="8705" width="8"/>
    <col min="8706" max="8706" width="35.75" customWidth="1"/>
    <col min="8707" max="8709" width="8"/>
    <col min="8710" max="8710" width="9.375" customWidth="1"/>
    <col min="8711" max="8961" width="8"/>
    <col min="8962" max="8962" width="35.75" customWidth="1"/>
    <col min="8963" max="8965" width="8"/>
    <col min="8966" max="8966" width="9.375" customWidth="1"/>
    <col min="9218" max="9218" width="35.75" customWidth="1"/>
    <col min="9219" max="9221" width="8"/>
    <col min="9222" max="9222" width="9.375" customWidth="1"/>
    <col min="9223" max="9473" width="8"/>
    <col min="9474" max="9474" width="35.75" customWidth="1"/>
    <col min="9475" max="9477" width="8"/>
    <col min="9478" max="9478" width="9.375" customWidth="1"/>
    <col min="9479" max="9729" width="8"/>
    <col min="9730" max="9730" width="35.75" customWidth="1"/>
    <col min="9731" max="9733" width="8"/>
    <col min="9734" max="9734" width="9.375" customWidth="1"/>
    <col min="9735" max="9985" width="8"/>
    <col min="9986" max="9986" width="35.75" customWidth="1"/>
    <col min="9987" max="9989" width="8"/>
    <col min="9990" max="9990" width="9.375" customWidth="1"/>
    <col min="10242" max="10242" width="35.75" customWidth="1"/>
    <col min="10243" max="10245" width="8"/>
    <col min="10246" max="10246" width="9.375" customWidth="1"/>
    <col min="10247" max="10497" width="8"/>
    <col min="10498" max="10498" width="35.75" customWidth="1"/>
    <col min="10499" max="10501" width="8"/>
    <col min="10502" max="10502" width="9.375" customWidth="1"/>
    <col min="10503" max="10753" width="8"/>
    <col min="10754" max="10754" width="35.75" customWidth="1"/>
    <col min="10755" max="10757" width="8"/>
    <col min="10758" max="10758" width="9.375" customWidth="1"/>
    <col min="10759" max="11009" width="8"/>
    <col min="11010" max="11010" width="35.75" customWidth="1"/>
    <col min="11011" max="11013" width="8"/>
    <col min="11014" max="11014" width="9.375" customWidth="1"/>
    <col min="11266" max="11266" width="35.75" customWidth="1"/>
    <col min="11267" max="11269" width="8"/>
    <col min="11270" max="11270" width="9.375" customWidth="1"/>
    <col min="11271" max="11521" width="8"/>
    <col min="11522" max="11522" width="35.75" customWidth="1"/>
    <col min="11523" max="11525" width="8"/>
    <col min="11526" max="11526" width="9.375" customWidth="1"/>
    <col min="11527" max="11777" width="8"/>
    <col min="11778" max="11778" width="35.75" customWidth="1"/>
    <col min="11779" max="11781" width="8"/>
    <col min="11782" max="11782" width="9.375" customWidth="1"/>
    <col min="11783" max="12033" width="8"/>
    <col min="12034" max="12034" width="35.75" customWidth="1"/>
    <col min="12035" max="12037" width="8"/>
    <col min="12038" max="12038" width="9.375" customWidth="1"/>
    <col min="12290" max="12290" width="35.75" customWidth="1"/>
    <col min="12291" max="12293" width="8"/>
    <col min="12294" max="12294" width="9.375" customWidth="1"/>
    <col min="12295" max="12545" width="8"/>
    <col min="12546" max="12546" width="35.75" customWidth="1"/>
    <col min="12547" max="12549" width="8"/>
    <col min="12550" max="12550" width="9.375" customWidth="1"/>
    <col min="12551" max="12801" width="8"/>
    <col min="12802" max="12802" width="35.75" customWidth="1"/>
    <col min="12803" max="12805" width="8"/>
    <col min="12806" max="12806" width="9.375" customWidth="1"/>
    <col min="12807" max="13057" width="8"/>
    <col min="13058" max="13058" width="35.75" customWidth="1"/>
    <col min="13059" max="13061" width="8"/>
    <col min="13062" max="13062" width="9.375" customWidth="1"/>
    <col min="13314" max="13314" width="35.75" customWidth="1"/>
    <col min="13315" max="13317" width="8"/>
    <col min="13318" max="13318" width="9.375" customWidth="1"/>
    <col min="13319" max="13569" width="8"/>
    <col min="13570" max="13570" width="35.75" customWidth="1"/>
    <col min="13571" max="13573" width="8"/>
    <col min="13574" max="13574" width="9.375" customWidth="1"/>
    <col min="13575" max="13825" width="8"/>
    <col min="13826" max="13826" width="35.75" customWidth="1"/>
    <col min="13827" max="13829" width="8"/>
    <col min="13830" max="13830" width="9.375" customWidth="1"/>
    <col min="13831" max="14081" width="8"/>
    <col min="14082" max="14082" width="35.75" customWidth="1"/>
    <col min="14083" max="14085" width="8"/>
    <col min="14086" max="14086" width="9.375" customWidth="1"/>
    <col min="14338" max="14338" width="35.75" customWidth="1"/>
    <col min="14339" max="14341" width="8"/>
    <col min="14342" max="14342" width="9.375" customWidth="1"/>
    <col min="14343" max="14593" width="8"/>
    <col min="14594" max="14594" width="35.75" customWidth="1"/>
    <col min="14595" max="14597" width="8"/>
    <col min="14598" max="14598" width="9.375" customWidth="1"/>
    <col min="14599" max="14849" width="8"/>
    <col min="14850" max="14850" width="35.75" customWidth="1"/>
    <col min="14851" max="14853" width="8"/>
    <col min="14854" max="14854" width="9.375" customWidth="1"/>
    <col min="14855" max="15105" width="8"/>
    <col min="15106" max="15106" width="35.75" customWidth="1"/>
    <col min="15107" max="15109" width="8"/>
    <col min="15110" max="15110" width="9.375" customWidth="1"/>
    <col min="15362" max="15362" width="35.75" customWidth="1"/>
    <col min="15363" max="15365" width="8"/>
    <col min="15366" max="15366" width="9.375" customWidth="1"/>
    <col min="15367" max="15617" width="8"/>
    <col min="15618" max="15618" width="35.75" customWidth="1"/>
    <col min="15619" max="15621" width="8"/>
    <col min="15622" max="15622" width="9.375" customWidth="1"/>
    <col min="15623" max="15873" width="8"/>
    <col min="15874" max="15874" width="35.75" customWidth="1"/>
    <col min="15875" max="15877" width="8"/>
    <col min="15878" max="15878" width="9.375" customWidth="1"/>
    <col min="15879" max="16129" width="8"/>
    <col min="16130" max="16130" width="35.75" customWidth="1"/>
    <col min="16131" max="16133" width="8"/>
    <col min="16134" max="16134" width="9.375" customWidth="1"/>
  </cols>
  <sheetData>
    <row r="1" spans="1:10" ht="18.75" x14ac:dyDescent="0.3">
      <c r="B1" s="11" t="s">
        <v>48</v>
      </c>
      <c r="C1" s="11"/>
    </row>
    <row r="2" spans="1:10" ht="15" thickBot="1" x14ac:dyDescent="0.25"/>
    <row r="3" spans="1:10" ht="72" thickTop="1" x14ac:dyDescent="0.2">
      <c r="B3" s="18" t="s">
        <v>39</v>
      </c>
      <c r="C3" s="19" t="s">
        <v>6</v>
      </c>
      <c r="D3" s="20" t="s">
        <v>16</v>
      </c>
      <c r="E3" s="21" t="s">
        <v>17</v>
      </c>
      <c r="F3" s="16" t="s">
        <v>20</v>
      </c>
      <c r="J3" s="13" t="s">
        <v>51</v>
      </c>
    </row>
    <row r="4" spans="1:10" x14ac:dyDescent="0.2">
      <c r="A4" s="15" t="str">
        <f>CONCATENATE(B4,C4)</f>
        <v>ČEZ Distribuce, a. s.VVN</v>
      </c>
      <c r="B4" s="22" t="s">
        <v>4</v>
      </c>
      <c r="C4" s="12" t="s">
        <v>14</v>
      </c>
      <c r="D4" s="27">
        <v>117432</v>
      </c>
      <c r="E4" s="28">
        <v>131036</v>
      </c>
      <c r="F4" s="17">
        <v>69.760000000000005</v>
      </c>
      <c r="J4" s="31">
        <v>2418.4</v>
      </c>
    </row>
    <row r="5" spans="1:10" x14ac:dyDescent="0.2">
      <c r="A5" s="15" t="str">
        <f t="shared" ref="A5:A13" si="0">CONCATENATE(B5,C5)</f>
        <v>ČEZ Distribuce, a. s.VN</v>
      </c>
      <c r="B5" s="22" t="s">
        <v>4</v>
      </c>
      <c r="C5" s="12" t="s">
        <v>15</v>
      </c>
      <c r="D5" s="27">
        <v>252565</v>
      </c>
      <c r="E5" s="28">
        <v>281823</v>
      </c>
      <c r="F5" s="17">
        <v>106.22</v>
      </c>
      <c r="J5" s="31">
        <v>5157.5200000000004</v>
      </c>
    </row>
    <row r="6" spans="1:10" x14ac:dyDescent="0.2">
      <c r="A6" s="15" t="str">
        <f t="shared" si="0"/>
        <v>EG.D, s.r.o.VVN</v>
      </c>
      <c r="B6" s="22" t="s">
        <v>55</v>
      </c>
      <c r="C6" s="12" t="s">
        <v>14</v>
      </c>
      <c r="D6" s="27">
        <v>110826</v>
      </c>
      <c r="E6" s="28">
        <v>122223</v>
      </c>
      <c r="F6" s="17">
        <v>65.62</v>
      </c>
      <c r="J6" s="31">
        <v>2282.14</v>
      </c>
    </row>
    <row r="7" spans="1:10" x14ac:dyDescent="0.2">
      <c r="A7" s="15" t="str">
        <f t="shared" si="0"/>
        <v>EG.D, s.r.o.VN</v>
      </c>
      <c r="B7" s="22" t="s">
        <v>55</v>
      </c>
      <c r="C7" s="12" t="s">
        <v>15</v>
      </c>
      <c r="D7" s="27">
        <v>230551</v>
      </c>
      <c r="E7" s="28">
        <v>254260</v>
      </c>
      <c r="F7" s="17">
        <v>98.61</v>
      </c>
      <c r="J7" s="31">
        <v>4709.63</v>
      </c>
    </row>
    <row r="8" spans="1:10" x14ac:dyDescent="0.2">
      <c r="A8" s="15" t="str">
        <f t="shared" si="0"/>
        <v>PREdistribuce, a.s.VVN</v>
      </c>
      <c r="B8" s="22" t="s">
        <v>5</v>
      </c>
      <c r="C8" s="12" t="s">
        <v>14</v>
      </c>
      <c r="D8" s="27">
        <v>129580</v>
      </c>
      <c r="E8" s="28">
        <v>143087</v>
      </c>
      <c r="F8" s="17">
        <v>64.52</v>
      </c>
      <c r="J8" s="31">
        <v>2656.12</v>
      </c>
    </row>
    <row r="9" spans="1:10" x14ac:dyDescent="0.2">
      <c r="A9" s="15" t="str">
        <f t="shared" si="0"/>
        <v>PREdistribuce, a.s.VN</v>
      </c>
      <c r="B9" s="22" t="s">
        <v>5</v>
      </c>
      <c r="C9" s="12" t="s">
        <v>15</v>
      </c>
      <c r="D9" s="27">
        <v>271093</v>
      </c>
      <c r="E9" s="28">
        <v>299351</v>
      </c>
      <c r="F9" s="17">
        <v>85.59</v>
      </c>
      <c r="J9" s="31">
        <v>5507.45</v>
      </c>
    </row>
    <row r="10" spans="1:10" x14ac:dyDescent="0.2">
      <c r="A10" s="15" t="str">
        <f t="shared" si="0"/>
        <v>UCED Chomutov s.r.o.VN</v>
      </c>
      <c r="B10" s="22" t="s">
        <v>18</v>
      </c>
      <c r="C10" s="12" t="s">
        <v>15</v>
      </c>
      <c r="D10" s="27">
        <v>266227</v>
      </c>
      <c r="E10" s="28">
        <v>295680</v>
      </c>
      <c r="F10" s="17">
        <v>79.63</v>
      </c>
      <c r="J10" s="31">
        <v>5404.17</v>
      </c>
    </row>
    <row r="11" spans="1:10" ht="15" thickBot="1" x14ac:dyDescent="0.25">
      <c r="A11" s="15" t="str">
        <f t="shared" si="0"/>
        <v>SV servisní, s.r.o.VN</v>
      </c>
      <c r="B11" s="23" t="s">
        <v>19</v>
      </c>
      <c r="C11" s="24" t="s">
        <v>15</v>
      </c>
      <c r="D11" s="29">
        <v>217605</v>
      </c>
      <c r="E11" s="30">
        <v>235013</v>
      </c>
      <c r="F11" s="17">
        <v>124.39</v>
      </c>
      <c r="J11" s="31">
        <v>4476.4900000000007</v>
      </c>
    </row>
    <row r="12" spans="1:10" ht="15" thickTop="1" x14ac:dyDescent="0.2">
      <c r="A12" s="15" t="str">
        <f t="shared" si="0"/>
        <v/>
      </c>
    </row>
    <row r="13" spans="1:10" x14ac:dyDescent="0.2">
      <c r="A13" s="15" t="str">
        <f t="shared" si="0"/>
        <v/>
      </c>
    </row>
    <row r="17" spans="1:10" ht="18.75" x14ac:dyDescent="0.3">
      <c r="B17" s="11" t="s">
        <v>49</v>
      </c>
    </row>
    <row r="18" spans="1:10" ht="15" thickBot="1" x14ac:dyDescent="0.25"/>
    <row r="19" spans="1:10" ht="72" customHeight="1" thickTop="1" x14ac:dyDescent="0.2">
      <c r="B19" s="18" t="s">
        <v>39</v>
      </c>
      <c r="C19" s="19" t="s">
        <v>6</v>
      </c>
      <c r="D19" s="20" t="s">
        <v>40</v>
      </c>
      <c r="E19" s="20" t="s">
        <v>41</v>
      </c>
      <c r="F19" s="20" t="s">
        <v>42</v>
      </c>
      <c r="G19" s="25" t="s">
        <v>43</v>
      </c>
      <c r="H19" s="16" t="s">
        <v>20</v>
      </c>
      <c r="J19" s="13" t="s">
        <v>51</v>
      </c>
    </row>
    <row r="20" spans="1:10" x14ac:dyDescent="0.2">
      <c r="A20" s="15" t="str">
        <f t="shared" ref="A20:A29" si="1">CONCATENATE(B20,C20)</f>
        <v>ČEZ Distribuce, a. s.VVN</v>
      </c>
      <c r="B20" s="22" t="s">
        <v>4</v>
      </c>
      <c r="C20" s="12" t="s">
        <v>14</v>
      </c>
      <c r="D20" s="27">
        <v>96862</v>
      </c>
      <c r="E20" s="27">
        <v>11586</v>
      </c>
      <c r="F20" s="27">
        <v>9686</v>
      </c>
      <c r="G20" s="28">
        <v>115862</v>
      </c>
      <c r="H20" s="17">
        <v>70.260000000000005</v>
      </c>
      <c r="J20" s="31">
        <v>2845.96</v>
      </c>
    </row>
    <row r="21" spans="1:10" x14ac:dyDescent="0.2">
      <c r="A21" s="15" t="str">
        <f t="shared" si="1"/>
        <v>ČEZ Distribuce, a. s.VN</v>
      </c>
      <c r="B21" s="22" t="s">
        <v>4</v>
      </c>
      <c r="C21" s="12" t="s">
        <v>15</v>
      </c>
      <c r="D21" s="27">
        <v>190133</v>
      </c>
      <c r="E21" s="27">
        <v>22743</v>
      </c>
      <c r="F21" s="27">
        <v>19013</v>
      </c>
      <c r="G21" s="28">
        <v>227429</v>
      </c>
      <c r="H21" s="17">
        <v>106.66</v>
      </c>
      <c r="J21" s="31">
        <v>5555.18</v>
      </c>
    </row>
    <row r="22" spans="1:10" x14ac:dyDescent="0.2">
      <c r="A22" s="15" t="str">
        <f t="shared" si="1"/>
        <v>EG.D, s.r.o.VVN</v>
      </c>
      <c r="B22" s="22" t="s">
        <v>55</v>
      </c>
      <c r="C22" s="12" t="s">
        <v>14</v>
      </c>
      <c r="D22" s="27">
        <v>87770</v>
      </c>
      <c r="E22" s="27">
        <v>10499</v>
      </c>
      <c r="F22" s="27">
        <v>8777</v>
      </c>
      <c r="G22" s="28">
        <v>104987</v>
      </c>
      <c r="H22" s="17">
        <v>64.8</v>
      </c>
      <c r="J22" s="31">
        <v>2579.98</v>
      </c>
    </row>
    <row r="23" spans="1:10" x14ac:dyDescent="0.2">
      <c r="A23" s="15" t="str">
        <f t="shared" si="1"/>
        <v>EG.D, s.r.o.VN</v>
      </c>
      <c r="B23" s="22" t="s">
        <v>55</v>
      </c>
      <c r="C23" s="12" t="s">
        <v>15</v>
      </c>
      <c r="D23" s="27">
        <v>181386</v>
      </c>
      <c r="E23" s="27">
        <v>21697</v>
      </c>
      <c r="F23" s="27">
        <v>18139</v>
      </c>
      <c r="G23" s="28">
        <v>216967</v>
      </c>
      <c r="H23" s="17">
        <v>97.96</v>
      </c>
      <c r="J23" s="31">
        <v>5295.85</v>
      </c>
    </row>
    <row r="24" spans="1:10" x14ac:dyDescent="0.2">
      <c r="A24" s="15" t="str">
        <f t="shared" si="1"/>
        <v>PREdistribuce, a.s.VVN</v>
      </c>
      <c r="B24" s="22" t="s">
        <v>5</v>
      </c>
      <c r="C24" s="12" t="s">
        <v>14</v>
      </c>
      <c r="D24" s="27">
        <v>109073</v>
      </c>
      <c r="E24" s="27">
        <v>13047</v>
      </c>
      <c r="F24" s="27">
        <v>10907</v>
      </c>
      <c r="G24" s="28">
        <v>130470</v>
      </c>
      <c r="H24" s="17">
        <v>63.54</v>
      </c>
      <c r="J24" s="31">
        <v>3189.21</v>
      </c>
    </row>
    <row r="25" spans="1:10" x14ac:dyDescent="0.2">
      <c r="A25" s="15" t="str">
        <f t="shared" si="1"/>
        <v>PREdistribuce, a.s.VN</v>
      </c>
      <c r="B25" s="22" t="s">
        <v>5</v>
      </c>
      <c r="C25" s="12" t="s">
        <v>15</v>
      </c>
      <c r="D25" s="27">
        <v>196298</v>
      </c>
      <c r="E25" s="27">
        <v>23480</v>
      </c>
      <c r="F25" s="27">
        <v>19630</v>
      </c>
      <c r="G25" s="28">
        <v>234804</v>
      </c>
      <c r="H25" s="17">
        <v>84.62</v>
      </c>
      <c r="J25" s="31">
        <v>5709.8</v>
      </c>
    </row>
    <row r="26" spans="1:10" x14ac:dyDescent="0.2">
      <c r="A26" s="15" t="str">
        <f t="shared" si="1"/>
        <v>UCED Chomutov s.r.o.VN</v>
      </c>
      <c r="B26" s="22" t="s">
        <v>18</v>
      </c>
      <c r="C26" s="12" t="s">
        <v>15</v>
      </c>
      <c r="D26" s="27">
        <v>255864</v>
      </c>
      <c r="E26" s="27">
        <v>30605</v>
      </c>
      <c r="F26" s="27">
        <v>25586</v>
      </c>
      <c r="G26" s="28">
        <v>306054</v>
      </c>
      <c r="H26" s="17">
        <v>98.044721624187275</v>
      </c>
      <c r="J26" s="31">
        <v>7430.16</v>
      </c>
    </row>
    <row r="27" spans="1:10" ht="15" thickBot="1" x14ac:dyDescent="0.25">
      <c r="A27" s="15" t="str">
        <f t="shared" si="1"/>
        <v>SV servisní, s.r.o.VN</v>
      </c>
      <c r="B27" s="23" t="s">
        <v>19</v>
      </c>
      <c r="C27" s="24" t="s">
        <v>15</v>
      </c>
      <c r="D27" s="29">
        <v>178312</v>
      </c>
      <c r="E27" s="29">
        <v>21329</v>
      </c>
      <c r="F27" s="29">
        <v>17831</v>
      </c>
      <c r="G27" s="30">
        <v>213290</v>
      </c>
      <c r="H27" s="17">
        <v>123.73</v>
      </c>
      <c r="J27" s="31">
        <v>5233.5200000000004</v>
      </c>
    </row>
    <row r="28" spans="1:10" ht="15" thickTop="1" x14ac:dyDescent="0.2">
      <c r="A28" s="15" t="str">
        <f t="shared" si="1"/>
        <v/>
      </c>
    </row>
    <row r="29" spans="1:10" x14ac:dyDescent="0.2">
      <c r="A29" s="15" t="str">
        <f t="shared" si="1"/>
        <v/>
      </c>
    </row>
  </sheetData>
  <sheetProtection algorithmName="SHA-512" hashValue="15WUg46wd8o5Pcr8ajxZOEitO0NGDZiQ+rCySf+w8MBYUOdG4ZZKSptEZolI8dg8/J9D5bSaofZeaGbyrn023g==" saltValue="9yTIo5VOFFsydSPlPGhxMw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898E-640C-4DA5-AC7E-C03A558DA5E9}">
  <sheetPr codeName="List2"/>
  <dimension ref="B2:D7"/>
  <sheetViews>
    <sheetView zoomScale="85" zoomScaleNormal="85" workbookViewId="0"/>
  </sheetViews>
  <sheetFormatPr defaultRowHeight="14.25" x14ac:dyDescent="0.2"/>
  <cols>
    <col min="1" max="1" width="3.5" customWidth="1"/>
    <col min="2" max="2" width="19.625" customWidth="1"/>
    <col min="3" max="3" width="3.5" customWidth="1"/>
    <col min="4" max="4" width="16.625" bestFit="1" customWidth="1"/>
    <col min="5" max="5" width="3.5" customWidth="1"/>
  </cols>
  <sheetData>
    <row r="2" spans="2:4" ht="15" x14ac:dyDescent="0.25">
      <c r="B2" s="26" t="s">
        <v>3</v>
      </c>
      <c r="D2" s="26" t="s">
        <v>6</v>
      </c>
    </row>
    <row r="3" spans="2:4" x14ac:dyDescent="0.2">
      <c r="B3" t="s">
        <v>4</v>
      </c>
      <c r="D3" t="s">
        <v>14</v>
      </c>
    </row>
    <row r="4" spans="2:4" x14ac:dyDescent="0.2">
      <c r="B4" t="s">
        <v>55</v>
      </c>
      <c r="D4" t="s">
        <v>15</v>
      </c>
    </row>
    <row r="5" spans="2:4" x14ac:dyDescent="0.2">
      <c r="B5" t="s">
        <v>5</v>
      </c>
    </row>
    <row r="6" spans="2:4" x14ac:dyDescent="0.2">
      <c r="B6" t="s">
        <v>18</v>
      </c>
    </row>
    <row r="7" spans="2:4" x14ac:dyDescent="0.2">
      <c r="B7" t="s">
        <v>19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2653488A8FC242A64169106C6835EA" ma:contentTypeVersion="2" ma:contentTypeDescription="Vytvoří nový dokument" ma:contentTypeScope="" ma:versionID="5343ae94bd4b805bc477f1c8543df7b4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3F067D-923A-4F2A-88ED-6B4088BE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1EE84-1E5B-4CF9-8A0E-CB63C7684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9011C2-F3A7-40AE-8417-D9745A341C3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32210cd-666d-4d11-ab48-bfef9714ab3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Informace</vt:lpstr>
      <vt:lpstr>Výpočet</vt:lpstr>
      <vt:lpstr>Ceník</vt:lpstr>
      <vt:lpstr>Pomocné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2022-08-23T15:28:26Z</dcterms:created>
  <dcterms:modified xsi:type="dcterms:W3CDTF">2026-06-02T10:54:26Z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0x010100962653488A8FC242A64169106C6835EA</vt:lpwstr>
  </property>
</Properties>
</file>