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codeName="ThisWorkbook"/>
  <xr:revisionPtr revIDLastSave="0" documentId="13_ncr:20000001_{932EB78F-7FF1-402E-A081-A30E87BFDC1D}" xr6:coauthVersionLast="47" xr6:coauthVersionMax="47" xr10:uidLastSave="{00000000-0000-0000-0000-000000000000}"/>
  <bookViews>
    <workbookView xWindow="-120" yWindow="-120" windowWidth="29040" windowHeight="15720" xr2:uid="{A2A9271C-CC0E-4AC3-9C09-89BF9505722C}"/>
  </bookViews>
  <sheets>
    <sheet name="Informace" sheetId="10" r:id="rId1"/>
    <sheet name="Výpočet" sheetId="1" r:id="rId2"/>
    <sheet name="Ceník" sheetId="2" state="hidden" r:id="rId3"/>
    <sheet name="Pomocné" sheetId="11" state="hidden" r:id="rId4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3" i="1" l="1"/>
  <c r="N33" i="1"/>
  <c r="M33" i="1"/>
  <c r="L33" i="1"/>
  <c r="K33" i="1"/>
  <c r="J33" i="1"/>
  <c r="I33" i="1"/>
  <c r="H33" i="1"/>
  <c r="G33" i="1"/>
  <c r="F33" i="1"/>
  <c r="E33" i="1"/>
  <c r="D33" i="1"/>
  <c r="D57" i="1"/>
  <c r="D44" i="1"/>
  <c r="D45" i="1"/>
  <c r="D46" i="1"/>
  <c r="D51" i="1"/>
  <c r="E44" i="1"/>
  <c r="E45" i="1"/>
  <c r="E46" i="1"/>
  <c r="E51" i="1"/>
  <c r="F44" i="1"/>
  <c r="F45" i="1"/>
  <c r="F46" i="1"/>
  <c r="F51" i="1"/>
  <c r="G44" i="1"/>
  <c r="G45" i="1"/>
  <c r="G46" i="1"/>
  <c r="G51" i="1"/>
  <c r="H44" i="1"/>
  <c r="H45" i="1"/>
  <c r="H46" i="1"/>
  <c r="H51" i="1"/>
  <c r="I44" i="1"/>
  <c r="I45" i="1"/>
  <c r="I46" i="1"/>
  <c r="I51" i="1"/>
  <c r="J44" i="1"/>
  <c r="J45" i="1"/>
  <c r="J46" i="1"/>
  <c r="J51" i="1"/>
  <c r="K44" i="1"/>
  <c r="K45" i="1"/>
  <c r="K46" i="1"/>
  <c r="K51" i="1"/>
  <c r="L44" i="1"/>
  <c r="L45" i="1"/>
  <c r="L46" i="1"/>
  <c r="L51" i="1"/>
  <c r="M44" i="1"/>
  <c r="M45" i="1"/>
  <c r="M46" i="1"/>
  <c r="M51" i="1"/>
  <c r="N44" i="1"/>
  <c r="N45" i="1"/>
  <c r="N46" i="1"/>
  <c r="N51" i="1"/>
  <c r="O44" i="1"/>
  <c r="O45" i="1"/>
  <c r="O46" i="1"/>
  <c r="O51" i="1"/>
  <c r="D52" i="1"/>
  <c r="D59" i="1"/>
  <c r="D58" i="1"/>
  <c r="D56" i="1"/>
  <c r="D41" i="1"/>
  <c r="E41" i="1"/>
  <c r="F41" i="1"/>
  <c r="G41" i="1"/>
  <c r="H41" i="1"/>
  <c r="I41" i="1"/>
  <c r="J41" i="1"/>
  <c r="K41" i="1"/>
  <c r="L41" i="1"/>
  <c r="M41" i="1"/>
  <c r="N41" i="1"/>
  <c r="O41" i="1"/>
  <c r="E34" i="1"/>
  <c r="E52" i="1"/>
  <c r="O42" i="1"/>
  <c r="N42" i="1"/>
  <c r="M42" i="1"/>
  <c r="L42" i="1"/>
  <c r="K42" i="1"/>
  <c r="J42" i="1"/>
  <c r="I42" i="1"/>
  <c r="H42" i="1"/>
  <c r="G42" i="1"/>
  <c r="F42" i="1"/>
  <c r="E42" i="1"/>
  <c r="D42" i="1"/>
  <c r="A20" i="2"/>
  <c r="A21" i="2"/>
  <c r="E28" i="1"/>
  <c r="E27" i="1"/>
  <c r="D16" i="1"/>
  <c r="E7" i="1"/>
  <c r="A12" i="2"/>
  <c r="A13" i="2"/>
  <c r="A28" i="2"/>
  <c r="A29" i="2"/>
  <c r="A27" i="2"/>
  <c r="A26" i="2"/>
  <c r="A25" i="2"/>
  <c r="A24" i="2"/>
  <c r="A23" i="2"/>
  <c r="A22" i="2"/>
  <c r="D65" i="1"/>
  <c r="D47" i="1"/>
  <c r="A11" i="2"/>
  <c r="A10" i="2"/>
  <c r="A9" i="2"/>
  <c r="A8" i="2"/>
  <c r="A7" i="2"/>
  <c r="A6" i="2"/>
  <c r="A5" i="2"/>
  <c r="A4" i="2"/>
  <c r="D27" i="1"/>
  <c r="D28" i="1"/>
  <c r="D68" i="1"/>
  <c r="D29" i="1"/>
  <c r="D34" i="1"/>
  <c r="K54" i="1"/>
  <c r="E54" i="1"/>
  <c r="O54" i="1"/>
  <c r="M54" i="1"/>
  <c r="J54" i="1"/>
  <c r="G54" i="1"/>
  <c r="F54" i="1"/>
  <c r="H54" i="1"/>
  <c r="N54" i="1"/>
  <c r="L54" i="1"/>
  <c r="I54" i="1"/>
  <c r="D54" i="1"/>
  <c r="E68" i="1"/>
</calcChain>
</file>

<file path=xl/sharedStrings.xml><?xml version="1.0" encoding="utf-8"?>
<sst xmlns="http://schemas.openxmlformats.org/spreadsheetml/2006/main" count="179" uniqueCount="77">
  <si>
    <t>Ceny</t>
  </si>
  <si>
    <t>Upozornění:</t>
  </si>
  <si>
    <t>Verze:</t>
  </si>
  <si>
    <t>Distribuční území</t>
  </si>
  <si>
    <t>ČEZ Distribuce, a. s.</t>
  </si>
  <si>
    <t>PREdistribuce, a.s.</t>
  </si>
  <si>
    <t>Napěťová hladina</t>
  </si>
  <si>
    <t>Sjednaná hodnota roční rezervované kapacity [MW]</t>
  </si>
  <si>
    <t>Sjednaná hodnota měsíční rezervované kapacity [MW]</t>
  </si>
  <si>
    <t>Měsíční cena za roční rezervovanou kapacitu [Kč/MW/měsíc]</t>
  </si>
  <si>
    <t>Měsíční cena za měsíční rezervovanou kapacitu [Kč/MW/měsíc]</t>
  </si>
  <si>
    <t>Cena za použití sítí [Kč/MWh]</t>
  </si>
  <si>
    <t>VVN</t>
  </si>
  <si>
    <t>VN</t>
  </si>
  <si>
    <t>Měsíční cena za roční rezervovanou kapacitu v Kč/MW a měsíc</t>
  </si>
  <si>
    <t>Měsíční cena za měsíční rezervovanou kapacitu v Kč/MW a měsíc</t>
  </si>
  <si>
    <t>UCED Chomutov s.r.o.</t>
  </si>
  <si>
    <t>SV servisní, s.r.o.</t>
  </si>
  <si>
    <t>Cena za použití sítí VVN a VN v Kč/MWh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</si>
  <si>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</si>
  <si>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</si>
  <si>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</si>
  <si>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</si>
  <si>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</si>
  <si>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</si>
  <si>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</si>
  <si>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</si>
  <si>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</si>
  <si>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</si>
  <si>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</si>
  <si>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</si>
  <si>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Předpokládaná roční platba bez DPH [Kč]</t>
  </si>
  <si>
    <t>Rezervovaný příkon předávacího místa [MW]</t>
  </si>
  <si>
    <t>Maximální naměřený odebraný výkon předávacího místa [MW]</t>
  </si>
  <si>
    <t>Měsíční cena za rezervovaný příkon [Kč/MW/měsíc]</t>
  </si>
  <si>
    <t>Měsíční cena za maximální odebraný výkon [Kč/MW/měsíc]</t>
  </si>
  <si>
    <t>Automaticky volený tarif z cenového rozhodnutí</t>
  </si>
  <si>
    <t>Provozovatel distribuční soustavy</t>
  </si>
  <si>
    <t>Měsíční cena za rezervovaný  příkon v tarifu T1 v Kč/MW/měsíc</t>
  </si>
  <si>
    <t>Měsíční cena za rezervovaný  příkon v tarifu T2 v Kč/MW/měsíc</t>
  </si>
  <si>
    <t>Měsíční cena za maximální odebraný výkon v tarifu T1 v Kč/MW/měsíc</t>
  </si>
  <si>
    <t>Měsíční cena za maximální odebraný výkon v tarifu T2 v Kč/MW/měsíc</t>
  </si>
  <si>
    <t>1. Dosavadní struktura ceny zajišťování distribuce elektřiny (platba dle rezervace kapacity)</t>
  </si>
  <si>
    <t>2. Nová struktura ceny zajišťování distribuce elektřiny (platba dle rezervovaného příkonu a maximálního odebraného výkonu)</t>
  </si>
  <si>
    <t>3. Alternativní varianta sjednání jednosložkové ceny za službu sítí (pro příležitostné špičkové odběry)</t>
  </si>
  <si>
    <t>Odběr elektřiny (za celý rok) [MWh]</t>
  </si>
  <si>
    <t>Struktura ceny - cena za rezervovanou kapacitu</t>
  </si>
  <si>
    <t>Struktura ceny - cena za rezervovaný příkon a maximální odebraný výkon</t>
  </si>
  <si>
    <t>Dopady nové struktury po jednotlivých měsících bez DPH [Kč]</t>
  </si>
  <si>
    <t>Jednosložková cena za službu sítí v Kč/MWh</t>
  </si>
  <si>
    <t>Jednosložková cena za službu sítí u nové struktury cen [Kč/MWh]</t>
  </si>
  <si>
    <t>Odběr elektřiny [MWh]</t>
  </si>
  <si>
    <t>Předpokládaná měsíční platba bez DPH [Kč]</t>
  </si>
  <si>
    <t>EG.D, s.r.o.</t>
  </si>
  <si>
    <t>Údaje o předávacím místě výrobce elektřiny</t>
  </si>
  <si>
    <t>Orientační kalkulace ceny zajišťování distribuce elektřiny pro výrobce elektřiny připojeného na hladině VVN nebo VN</t>
  </si>
  <si>
    <t xml:space="preserve">koeficient obvyklého podílu TVS </t>
  </si>
  <si>
    <t>Typ výrobny</t>
  </si>
  <si>
    <t>Jaderná elektrárna</t>
  </si>
  <si>
    <t>Parní elektrárna</t>
  </si>
  <si>
    <t>Paroplynová elektrárna</t>
  </si>
  <si>
    <t>Plynová a spalovací elektrárna</t>
  </si>
  <si>
    <t>Instalovaný výkon výrobny [MW]</t>
  </si>
  <si>
    <t>Jde o výrobce elektřiny dle § 53a vyhlášky s účinností po 1.1.2027?</t>
  </si>
  <si>
    <t>Jde o výrobce první kategorie dle § 53 vyhlášky s účinností před 1.1.2027?</t>
  </si>
  <si>
    <t>Volba zadání</t>
  </si>
  <si>
    <t>Ano</t>
  </si>
  <si>
    <t>Ne</t>
  </si>
  <si>
    <t>Vodní elektrárna</t>
  </si>
  <si>
    <t>Větrná elektrárna</t>
  </si>
  <si>
    <t>Jiný typ elektrárny</t>
  </si>
  <si>
    <r>
      <t>Použité ceny vycházejí z cenového výměru pro rok 2026 a ze simulace odpovídajících cen pro rok 2026 podle nového způsobu zpoplatnění.</t>
    </r>
    <r>
      <rPr>
        <b/>
        <i/>
        <sz val="10"/>
        <color theme="1"/>
        <rFont val="Arial"/>
        <family val="2"/>
        <charset val="238"/>
        <scheme val="minor"/>
      </rPr>
      <t xml:space="preserve"> Jde proto pouze o orientační vyčíslení dopadů změny tarifikace a skutečné dopady po 1. lednu 2027 budou záviset na hodnotách jednotlivých cen stanovených cenovým výměrem na konci listopadu 2026.</t>
    </r>
  </si>
  <si>
    <r>
      <t xml:space="preserve">Kalkulace slouží k ověření konkrétního dopadu změny struktury ceny zajišťování distribuce elektřiny na výrobce elektřiny na napěťové hladině VVN nebo VN v návaznosti na připravovanou změnu tarifikace od 1. ledna 2027. </t>
    </r>
    <r>
      <rPr>
        <b/>
        <i/>
        <sz val="10"/>
        <color theme="1"/>
        <rFont val="Arial"/>
        <family val="2"/>
        <charset val="238"/>
        <scheme val="minor"/>
      </rPr>
      <t xml:space="preserve">Kalkulací je tak například možné získat představu, jak by se současná hodnota rezervovaného příkonu v určitém předávacím místě a typické hodnoty maximálního odebraného výkonu v jednotlivých měsících roku pro určité předávací místo projevily ve snížení nebo zvýšení roční platby za zajišťování distribuce elektřiny, pokud by změna tarifikace platila již pro rok 2026. </t>
    </r>
  </si>
  <si>
    <t>Výsledná platba</t>
  </si>
  <si>
    <t>Jde o základní orientační kalkulaci pro výrobce elektřiny na napěťové hladině VVN a VN včetně varianty výpočtu odlišného vyhodnocení platby ceny za maximální odebraný výkon podle § 53a vyhlášky č. 408/2015 Sb., o Pravidlech trhu s elektřinou. Kalkulace nezohledňuje případné další specifické dopady mimořádných situací ošetřených cenovým výměrem.</t>
  </si>
  <si>
    <t>Jedná se pouze o kalkulaci části platby za dodávku elektřiny (neobsahuje neregulovanou složku ceny, ani některé regulované ceny jako cenu za systémové služby, cenu za provoz nesíťové infrastruktury a složku ceny na podporu elektřiny z podporovaných zdrojů energie). Kalkulace nicméně zohledňuje platbu z ceny za překročení rezervované kapacity.</t>
  </si>
  <si>
    <t>Kalkulace se nachází na následujícím listu, kde se vyplňují buňky podbarvení tmavě modrou barvou. V případě, že je maximálním odebraným výkonem nebo rezervovanou kapacitou překročen rezervovaný příkon, vypíše se chybové hlášení na ř. 42. V případě, že budou upravovány jiné buňky, než označené tmavě modrou barvou, nemusí kalkulátor poskytovat správný výsledek.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</si>
</sst>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7" x14ac:knownFonts="1">
    <font>
      <sz val="11"/>
      <color theme="1"/>
      <name val="Arial"/>
      <family val="2"/>
      <charset val="238"/>
      <scheme val="minor"/>
    </font>
    <font>
      <sz val="18"/>
      <color theme="3"/>
      <name val="Arial"/>
      <family val="2"/>
      <charset val="238"/>
      <scheme val="major"/>
    </font>
    <font>
      <b/>
      <sz val="11"/>
      <color theme="1"/>
      <name val="Arial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Arial"/>
      <family val="2"/>
      <charset val="238"/>
      <scheme val="minor"/>
    </font>
    <font>
      <b/>
      <sz val="13"/>
      <color theme="3"/>
      <name val="Arial"/>
      <family val="2"/>
      <charset val="238"/>
      <scheme val="minor"/>
    </font>
    <font>
      <i/>
      <sz val="11"/>
      <color theme="1"/>
      <name val="Arial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8"/>
      <color theme="4" tint="0.39997558519241921"/>
      <name val="Arial"/>
      <family val="2"/>
      <charset val="238"/>
      <scheme val="minor"/>
    </font>
    <font>
      <i/>
      <sz val="10"/>
      <color theme="1"/>
      <name val="Arial"/>
      <family val="2"/>
      <charset val="238"/>
      <scheme val="minor"/>
    </font>
    <font>
      <b/>
      <i/>
      <u/>
      <sz val="10"/>
      <color theme="1"/>
      <name val="Arial"/>
      <family val="2"/>
      <charset val="238"/>
      <scheme val="minor"/>
    </font>
    <font>
      <b/>
      <sz val="18"/>
      <color theme="3"/>
      <name val="Arial"/>
      <family val="2"/>
      <charset val="238"/>
      <scheme val="major"/>
    </font>
    <font>
      <sz val="10"/>
      <color theme="1"/>
      <name val="Arial"/>
      <family val="2"/>
      <charset val="238"/>
      <scheme val="minor"/>
    </font>
    <font>
      <i/>
      <sz val="11"/>
      <color theme="8"/>
      <name val="Arial"/>
      <family val="2"/>
      <charset val="238"/>
      <scheme val="minor"/>
    </font>
    <font>
      <b/>
      <i/>
      <sz val="14"/>
      <name val="Arial CE"/>
      <family val="2"/>
      <charset val="238"/>
    </font>
    <font>
      <i/>
      <sz val="11"/>
      <color theme="0" tint="-0.34998626667073579"/>
      <name val="Arial"/>
      <family val="2"/>
      <charset val="238"/>
      <scheme val="minor"/>
    </font>
    <font>
      <b/>
      <i/>
      <sz val="11"/>
      <color rgb="FFFF0000"/>
      <name val="Arial"/>
      <family val="2"/>
      <charset val="238"/>
      <scheme val="minor"/>
    </font>
    <font>
      <sz val="11"/>
      <color rgb="FF00B050"/>
      <name val="Arial"/>
      <family val="2"/>
      <charset val="238"/>
      <scheme val="minor"/>
    </font>
    <font>
      <sz val="10"/>
      <name val="Arial CE"/>
      <family val="2"/>
      <charset val="238"/>
    </font>
    <font>
      <b/>
      <sz val="13"/>
      <color theme="0"/>
      <name val="Arial"/>
      <family val="2"/>
      <charset val="238"/>
      <scheme val="minor"/>
    </font>
    <font>
      <b/>
      <sz val="18"/>
      <color theme="4" tint="0.59999389629810485"/>
      <name val="Arial"/>
      <family val="2"/>
      <charset val="238"/>
      <scheme val="major"/>
    </font>
    <font>
      <b/>
      <sz val="11"/>
      <color theme="0"/>
      <name val="Arial"/>
      <family val="2"/>
      <charset val="238"/>
      <scheme val="minor"/>
    </font>
    <font>
      <b/>
      <i/>
      <sz val="11"/>
      <color theme="0"/>
      <name val="Arial"/>
      <family val="2"/>
      <charset val="238"/>
      <scheme val="minor"/>
    </font>
    <font>
      <b/>
      <i/>
      <sz val="10"/>
      <color theme="1"/>
      <name val="Arial"/>
      <family val="2"/>
      <charset val="238"/>
      <scheme val="minor"/>
    </font>
    <font>
      <b/>
      <i/>
      <sz val="11"/>
      <name val="Arial"/>
      <family val="2"/>
      <charset val="238"/>
      <scheme val="minor"/>
    </font>
    <font>
      <sz val="11"/>
      <name val="Arial"/>
      <family val="2"/>
      <charset val="238"/>
      <scheme val="minor"/>
    </font>
    <font>
      <b/>
      <i/>
      <sz val="11"/>
      <color theme="8"/>
      <name val="Arial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3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theme="3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8">
    <xf numFmtId="0" fontId="0" fillId="0" borderId="0"/>
    <xf numFmtId="0" fontId="1" fillId="0" borderId="0" applyNumberFormat="0" applyFill="0" applyBorder="0" applyAlignment="0" applyProtection="0"/>
    <xf numFmtId="0" fontId="3" fillId="0" borderId="0"/>
    <xf numFmtId="0" fontId="5" fillId="0" borderId="1" applyNumberFormat="0" applyFill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7" fillId="0" borderId="0"/>
    <xf numFmtId="0" fontId="18" fillId="0" borderId="0"/>
  </cellStyleXfs>
  <cellXfs count="79">
    <xf numFmtId="0" fontId="0" fillId="0" borderId="0" xfId="0"/>
    <xf numFmtId="3" fontId="4" fillId="2" borderId="0" xfId="4" applyNumberFormat="1" applyBorder="1" applyProtection="1">
      <protection locked="0"/>
    </xf>
    <xf numFmtId="164" fontId="4" fillId="2" borderId="0" xfId="4" applyNumberFormat="1" applyBorder="1" applyProtection="1">
      <protection locked="0"/>
    </xf>
    <xf numFmtId="0" fontId="8" fillId="0" borderId="0" xfId="0" applyFont="1"/>
    <xf numFmtId="0" fontId="10" fillId="0" borderId="0" xfId="0" applyFont="1"/>
    <xf numFmtId="0" fontId="12" fillId="0" borderId="0" xfId="0" applyFont="1"/>
    <xf numFmtId="14" fontId="12" fillId="0" borderId="0" xfId="0" applyNumberFormat="1" applyFont="1" applyAlignment="1">
      <alignment horizontal="left"/>
    </xf>
    <xf numFmtId="0" fontId="0" fillId="0" borderId="0" xfId="0" applyProtection="1">
      <protection hidden="1"/>
    </xf>
    <xf numFmtId="0" fontId="9" fillId="0" borderId="0" xfId="0" applyFont="1" applyAlignment="1" applyProtection="1">
      <alignment vertical="justify" wrapText="1"/>
      <protection hidden="1"/>
    </xf>
    <xf numFmtId="0" fontId="9" fillId="0" borderId="0" xfId="0" applyFont="1" applyAlignment="1" applyProtection="1">
      <alignment wrapText="1"/>
      <protection hidden="1"/>
    </xf>
    <xf numFmtId="3" fontId="0" fillId="2" borderId="0" xfId="4" applyNumberFormat="1" applyFont="1" applyBorder="1" applyProtection="1">
      <protection locked="0"/>
    </xf>
    <xf numFmtId="0" fontId="14" fillId="0" borderId="0" xfId="0" applyFont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6" fillId="0" borderId="0" xfId="0" applyFont="1"/>
    <xf numFmtId="0" fontId="15" fillId="0" borderId="0" xfId="0" applyFont="1"/>
    <xf numFmtId="0" fontId="0" fillId="0" borderId="3" xfId="0" applyBorder="1" applyAlignment="1">
      <alignment horizontal="center" vertical="top" wrapText="1"/>
    </xf>
    <xf numFmtId="4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2" fillId="0" borderId="0" xfId="0" applyFont="1" applyAlignment="1" applyProtection="1">
      <alignment horizontal="left"/>
      <protection hidden="1"/>
    </xf>
    <xf numFmtId="0" fontId="2" fillId="0" borderId="0" xfId="0" applyFont="1"/>
    <xf numFmtId="3" fontId="0" fillId="0" borderId="2" xfId="0" applyNumberFormat="1" applyBorder="1" applyAlignment="1">
      <alignment horizontal="center" vertical="center"/>
    </xf>
    <xf numFmtId="3" fontId="0" fillId="0" borderId="8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164" fontId="4" fillId="3" borderId="0" xfId="5" applyNumberFormat="1" applyBorder="1" applyProtection="1"/>
    <xf numFmtId="4" fontId="4" fillId="3" borderId="0" xfId="5" applyNumberFormat="1" applyBorder="1" applyProtection="1"/>
    <xf numFmtId="3" fontId="19" fillId="4" borderId="0" xfId="3" applyNumberFormat="1" applyFont="1" applyFill="1" applyBorder="1" applyProtection="1"/>
    <xf numFmtId="3" fontId="4" fillId="3" borderId="0" xfId="5" applyNumberFormat="1" applyBorder="1" applyProtection="1"/>
    <xf numFmtId="0" fontId="2" fillId="0" borderId="12" xfId="0" applyFont="1" applyBorder="1" applyAlignment="1">
      <alignment horizontal="right"/>
    </xf>
    <xf numFmtId="3" fontId="2" fillId="3" borderId="12" xfId="5" applyNumberFormat="1" applyFont="1" applyBorder="1" applyProtection="1"/>
    <xf numFmtId="3" fontId="21" fillId="4" borderId="0" xfId="5" applyNumberFormat="1" applyFont="1" applyFill="1" applyBorder="1" applyProtection="1"/>
    <xf numFmtId="0" fontId="5" fillId="0" borderId="0" xfId="3" applyBorder="1" applyProtection="1"/>
    <xf numFmtId="3" fontId="5" fillId="0" borderId="1" xfId="3" applyNumberFormat="1" applyFill="1" applyProtection="1"/>
    <xf numFmtId="0" fontId="0" fillId="0" borderId="13" xfId="0" applyBorder="1" applyProtection="1">
      <protection hidden="1"/>
    </xf>
    <xf numFmtId="0" fontId="0" fillId="0" borderId="14" xfId="0" applyBorder="1" applyProtection="1">
      <protection hidden="1"/>
    </xf>
    <xf numFmtId="0" fontId="0" fillId="0" borderId="15" xfId="0" applyBorder="1" applyProtection="1">
      <protection hidden="1"/>
    </xf>
    <xf numFmtId="0" fontId="0" fillId="0" borderId="16" xfId="0" applyBorder="1" applyProtection="1">
      <protection hidden="1"/>
    </xf>
    <xf numFmtId="0" fontId="11" fillId="0" borderId="0" xfId="1" applyFont="1" applyBorder="1" applyProtection="1"/>
    <xf numFmtId="0" fontId="0" fillId="0" borderId="17" xfId="0" applyBorder="1" applyProtection="1">
      <protection hidden="1"/>
    </xf>
    <xf numFmtId="0" fontId="5" fillId="0" borderId="1" xfId="3" applyProtection="1"/>
    <xf numFmtId="0" fontId="0" fillId="0" borderId="0" xfId="0" applyAlignment="1">
      <alignment horizontal="right"/>
    </xf>
    <xf numFmtId="0" fontId="16" fillId="0" borderId="0" xfId="0" applyFont="1"/>
    <xf numFmtId="3" fontId="5" fillId="0" borderId="1" xfId="3" applyNumberFormat="1" applyFill="1" applyAlignment="1" applyProtection="1"/>
    <xf numFmtId="0" fontId="0" fillId="0" borderId="18" xfId="0" applyBorder="1" applyProtection="1">
      <protection hidden="1"/>
    </xf>
    <xf numFmtId="0" fontId="0" fillId="0" borderId="19" xfId="0" applyBorder="1" applyAlignment="1">
      <alignment horizontal="right"/>
    </xf>
    <xf numFmtId="164" fontId="0" fillId="0" borderId="19" xfId="0" applyNumberFormat="1" applyBorder="1"/>
    <xf numFmtId="0" fontId="0" fillId="0" borderId="20" xfId="0" applyBorder="1" applyProtection="1">
      <protection hidden="1"/>
    </xf>
    <xf numFmtId="0" fontId="0" fillId="0" borderId="14" xfId="0" applyBorder="1" applyAlignment="1">
      <alignment horizontal="right"/>
    </xf>
    <xf numFmtId="0" fontId="0" fillId="0" borderId="14" xfId="0" applyBorder="1"/>
    <xf numFmtId="0" fontId="13" fillId="0" borderId="0" xfId="0" applyFont="1"/>
    <xf numFmtId="0" fontId="2" fillId="0" borderId="19" xfId="0" applyFont="1" applyBorder="1" applyAlignment="1">
      <alignment horizontal="right"/>
    </xf>
    <xf numFmtId="0" fontId="0" fillId="0" borderId="19" xfId="0" applyBorder="1"/>
    <xf numFmtId="0" fontId="2" fillId="0" borderId="14" xfId="0" applyFont="1" applyBorder="1" applyAlignment="1">
      <alignment horizontal="right"/>
    </xf>
    <xf numFmtId="0" fontId="16" fillId="0" borderId="0" xfId="0" applyFont="1" applyAlignment="1">
      <alignment vertical="top"/>
    </xf>
    <xf numFmtId="0" fontId="2" fillId="0" borderId="0" xfId="0" applyFont="1" applyAlignment="1">
      <alignment horizontal="right"/>
    </xf>
    <xf numFmtId="0" fontId="21" fillId="4" borderId="0" xfId="0" applyFont="1" applyFill="1" applyAlignment="1">
      <alignment horizontal="right"/>
    </xf>
    <xf numFmtId="0" fontId="20" fillId="0" borderId="0" xfId="1" applyFont="1" applyBorder="1" applyProtection="1"/>
    <xf numFmtId="0" fontId="17" fillId="0" borderId="0" xfId="0" applyFont="1"/>
    <xf numFmtId="0" fontId="0" fillId="0" borderId="19" xfId="0" applyBorder="1" applyProtection="1">
      <protection hidden="1"/>
    </xf>
    <xf numFmtId="0" fontId="0" fillId="0" borderId="19" xfId="0" applyBorder="1" applyAlignment="1" applyProtection="1">
      <alignment horizontal="right"/>
      <protection hidden="1"/>
    </xf>
    <xf numFmtId="164" fontId="0" fillId="0" borderId="2" xfId="0" applyNumberFormat="1" applyBorder="1" applyAlignment="1">
      <alignment horizontal="center" vertical="center"/>
    </xf>
    <xf numFmtId="164" fontId="4" fillId="0" borderId="0" xfId="4" applyNumberFormat="1" applyFill="1" applyBorder="1" applyProtection="1">
      <protection locked="0"/>
    </xf>
    <xf numFmtId="0" fontId="22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4" fillId="0" borderId="0" xfId="0" applyFont="1"/>
    <xf numFmtId="0" fontId="25" fillId="0" borderId="0" xfId="0" applyFont="1"/>
    <xf numFmtId="0" fontId="16" fillId="0" borderId="0" xfId="0" applyFont="1"/>
    <xf numFmtId="0" fontId="0" fillId="0" borderId="0" xfId="0"/>
  </cellXfs>
  <cellStyles count="8">
    <cellStyle name="20 % – Zvýraznění 1" xfId="4" builtinId="30"/>
    <cellStyle name="20 % – Zvýraznění 4" xfId="5" builtinId="42"/>
    <cellStyle name="Nadpis 2" xfId="3" builtinId="17"/>
    <cellStyle name="Název" xfId="1" builtinId="15"/>
    <cellStyle name="Normální" xfId="0" builtinId="0"/>
    <cellStyle name="Normální 2" xfId="2" xr:uid="{A3DC3EEF-AC9D-41A0-BCFF-F97FDEC89724}"/>
    <cellStyle name="Normální 2 3 2" xfId="7" xr:uid="{0CC69A49-F4DE-494F-9257-A0E2AD7E9926}"/>
    <cellStyle name="Normální 3" xfId="6" xr:uid="{44D211E5-300A-417B-8032-94B3BB3F4DEF}"/>
  </cellStyles>
  <dxfs count="4"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838A26"/>
      <color rgb="FF377179"/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</xdr:row>
      <xdr:rowOff>19050</xdr:rowOff>
    </xdr:from>
    <xdr:to>
      <xdr:col>4</xdr:col>
      <xdr:colOff>171450</xdr:colOff>
      <xdr:row>5</xdr:row>
      <xdr:rowOff>66675</xdr:rowOff>
    </xdr:to>
    <xdr:pic>
      <xdr:nvPicPr>
        <xdr:cNvPr id="3" name="Obrázek 1">
          <a:extLst>
            <a:ext uri="{FF2B5EF4-FFF2-40B4-BE49-F238E27FC236}">
              <a16:creationId xmlns:a16="http://schemas.microsoft.com/office/drawing/2014/main" id="{7D07EFAD-E0F4-4F73-9B0D-2861E1B36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25175" y="523875"/>
          <a:ext cx="21050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ERU">
  <a:themeElements>
    <a:clrScheme name="ERU">
      <a:dk1>
        <a:srgbClr val="262626"/>
      </a:dk1>
      <a:lt1>
        <a:sysClr val="window" lastClr="FFFFFF"/>
      </a:lt1>
      <a:dk2>
        <a:srgbClr val="23315F"/>
      </a:dk2>
      <a:lt2>
        <a:srgbClr val="D0D0D0"/>
      </a:lt2>
      <a:accent1>
        <a:srgbClr val="23315F"/>
      </a:accent1>
      <a:accent2>
        <a:srgbClr val="5A6588"/>
      </a:accent2>
      <a:accent3>
        <a:srgbClr val="9198B0"/>
      </a:accent3>
      <a:accent4>
        <a:srgbClr val="C8CBD7"/>
      </a:accent4>
      <a:accent5>
        <a:srgbClr val="E02C1F"/>
      </a:accent5>
      <a:accent6>
        <a:srgbClr val="E86158"/>
      </a:accent6>
      <a:hlink>
        <a:srgbClr val="0563C1"/>
      </a:hlink>
      <a:folHlink>
        <a:srgbClr val="E02C1F"/>
      </a:folHlink>
    </a:clrScheme>
    <a:fontScheme name="Výchozí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Motiv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otiv_ERU" id="{9FFB561D-4E9C-47DD-93C1-073C5FD388E9}" vid="{664F4A23-A473-446F-B730-8F377D84977F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68FBE-0273-4177-9141-87C8E4A6E3F4}">
  <sheetPr codeName="List1"/>
  <dimension ref="A1:A18"/>
  <sheetViews>
    <sheetView showGridLines="0" tabSelected="1" zoomScaleNormal="100" workbookViewId="0"/>
  </sheetViews>
  <sheetFormatPr defaultRowHeight="14.25" x14ac:dyDescent="0.2"/>
  <cols>
    <col min="1" max="1" width="93.75" bestFit="1" customWidth="1"/>
    <col min="2" max="2" width="49.5" customWidth="1"/>
    <col min="3" max="3" width="16.5" bestFit="1" customWidth="1"/>
  </cols>
  <sheetData>
    <row r="1" spans="1:1" ht="26.1" customHeight="1" x14ac:dyDescent="0.35">
      <c r="A1" s="3" t="s">
        <v>55</v>
      </c>
    </row>
    <row r="4" spans="1:1" ht="18.600000000000001" customHeight="1" x14ac:dyDescent="0.2">
      <c r="A4" s="4" t="s">
        <v>1</v>
      </c>
    </row>
    <row r="5" spans="1:1" x14ac:dyDescent="0.2">
      <c r="A5" s="7"/>
    </row>
    <row r="6" spans="1:1" ht="76.5" x14ac:dyDescent="0.2">
      <c r="A6" s="9" t="s">
        <v>72</v>
      </c>
    </row>
    <row r="7" spans="1:1" x14ac:dyDescent="0.2">
      <c r="A7" s="7"/>
    </row>
    <row r="8" spans="1:1" ht="38.25" x14ac:dyDescent="0.2">
      <c r="A8" s="9" t="s">
        <v>71</v>
      </c>
    </row>
    <row r="9" spans="1:1" x14ac:dyDescent="0.2">
      <c r="A9" s="7"/>
    </row>
    <row r="10" spans="1:1" ht="42.95" customHeight="1" x14ac:dyDescent="0.2">
      <c r="A10" s="9" t="s">
        <v>75</v>
      </c>
    </row>
    <row r="11" spans="1:1" x14ac:dyDescent="0.2">
      <c r="A11" s="7"/>
    </row>
    <row r="12" spans="1:1" ht="38.25" x14ac:dyDescent="0.2">
      <c r="A12" s="8" t="s">
        <v>74</v>
      </c>
    </row>
    <row r="14" spans="1:1" ht="51" x14ac:dyDescent="0.2">
      <c r="A14" s="8" t="s">
        <v>76</v>
      </c>
    </row>
    <row r="17" spans="1:1" x14ac:dyDescent="0.2">
      <c r="A17" s="5" t="s">
        <v>2</v>
      </c>
    </row>
    <row r="18" spans="1:1" x14ac:dyDescent="0.2">
      <c r="A18" s="6">
        <v>46175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8055D2-2C5C-47C3-B75D-0F9946530C29}">
  <sheetPr codeName="List4">
    <tabColor theme="3"/>
  </sheetPr>
  <dimension ref="B1:P69"/>
  <sheetViews>
    <sheetView showGridLines="0" zoomScale="60" zoomScaleNormal="60" workbookViewId="0"/>
  </sheetViews>
  <sheetFormatPr defaultColWidth="9" defaultRowHeight="14.25" x14ac:dyDescent="0.2"/>
  <cols>
    <col min="1" max="2" width="3.5" style="7" customWidth="1"/>
    <col min="3" max="3" width="64" style="7" customWidth="1"/>
    <col min="4" max="4" width="28.25" style="7" bestFit="1" customWidth="1"/>
    <col min="5" max="15" width="16.5" style="7" customWidth="1"/>
    <col min="16" max="16" width="3.125" style="7" customWidth="1"/>
    <col min="17" max="16384" width="9" style="7"/>
  </cols>
  <sheetData>
    <row r="1" spans="2:16" ht="15" thickBot="1" x14ac:dyDescent="0.25"/>
    <row r="2" spans="2:16" x14ac:dyDescent="0.2">
      <c r="B2" s="42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4"/>
    </row>
    <row r="3" spans="2:16" ht="23.25" x14ac:dyDescent="0.35">
      <c r="B3" s="45"/>
      <c r="C3" s="3" t="s">
        <v>54</v>
      </c>
      <c r="D3" s="46"/>
      <c r="E3"/>
      <c r="F3" s="72"/>
      <c r="G3" s="73"/>
      <c r="H3" s="73"/>
      <c r="I3" s="73"/>
      <c r="J3" s="73"/>
      <c r="K3" s="73"/>
      <c r="L3" s="73"/>
      <c r="M3" s="73"/>
      <c r="N3" s="73"/>
      <c r="O3" s="73"/>
      <c r="P3" s="47"/>
    </row>
    <row r="4" spans="2:16" ht="6.75" customHeight="1" x14ac:dyDescent="0.2">
      <c r="B4" s="45"/>
      <c r="C4"/>
      <c r="D4"/>
      <c r="E4"/>
      <c r="F4"/>
      <c r="G4"/>
      <c r="H4"/>
      <c r="I4"/>
      <c r="J4"/>
      <c r="K4"/>
      <c r="L4"/>
      <c r="M4"/>
      <c r="N4"/>
      <c r="O4"/>
      <c r="P4" s="47"/>
    </row>
    <row r="5" spans="2:16" ht="17.25" thickBot="1" x14ac:dyDescent="0.3">
      <c r="B5" s="45"/>
      <c r="C5"/>
      <c r="D5" s="48"/>
      <c r="E5"/>
      <c r="F5" s="50"/>
      <c r="G5"/>
      <c r="H5"/>
      <c r="I5"/>
      <c r="J5"/>
      <c r="K5"/>
      <c r="L5"/>
      <c r="M5"/>
      <c r="N5"/>
      <c r="O5"/>
      <c r="P5" s="47"/>
    </row>
    <row r="6" spans="2:16" ht="15" thickTop="1" x14ac:dyDescent="0.2">
      <c r="B6" s="45"/>
      <c r="C6" s="49" t="s">
        <v>3</v>
      </c>
      <c r="D6" s="1" t="s">
        <v>4</v>
      </c>
      <c r="E6"/>
      <c r="F6" s="72"/>
      <c r="G6" s="73"/>
      <c r="H6" s="73"/>
      <c r="I6" s="73"/>
      <c r="J6" s="73"/>
      <c r="K6" s="73"/>
      <c r="L6" s="73"/>
      <c r="M6" s="73"/>
      <c r="N6" s="73"/>
      <c r="O6" s="73"/>
      <c r="P6" s="47"/>
    </row>
    <row r="7" spans="2:16" x14ac:dyDescent="0.2">
      <c r="B7" s="45"/>
      <c r="C7" s="49" t="s">
        <v>6</v>
      </c>
      <c r="D7" s="10" t="s">
        <v>13</v>
      </c>
      <c r="E7" s="50" t="str">
        <f>IF(AND(D7="VVN",OR(D6=Ceník!$B$10,D6=Ceník!$B$11)),"K tomuto území existují pouze ceny na VN","")</f>
        <v/>
      </c>
      <c r="F7" s="72"/>
      <c r="G7" s="73"/>
      <c r="H7" s="73"/>
      <c r="I7" s="73"/>
      <c r="J7" s="73"/>
      <c r="K7" s="73"/>
      <c r="L7" s="73"/>
      <c r="M7" s="73"/>
      <c r="N7" s="73"/>
      <c r="O7" s="73"/>
      <c r="P7" s="47"/>
    </row>
    <row r="8" spans="2:16" x14ac:dyDescent="0.2">
      <c r="B8" s="45"/>
      <c r="C8" s="49" t="s">
        <v>57</v>
      </c>
      <c r="D8" s="10" t="s">
        <v>61</v>
      </c>
      <c r="E8" s="71"/>
      <c r="F8" s="50"/>
      <c r="G8" s="50"/>
      <c r="H8" s="50"/>
      <c r="I8" s="50"/>
      <c r="J8" s="50"/>
      <c r="K8" s="50"/>
      <c r="L8" s="50"/>
      <c r="M8" s="50"/>
      <c r="N8" s="50"/>
      <c r="O8" s="50"/>
      <c r="P8" s="47"/>
    </row>
    <row r="9" spans="2:16" x14ac:dyDescent="0.2">
      <c r="B9" s="45"/>
      <c r="C9" s="49" t="s">
        <v>62</v>
      </c>
      <c r="D9" s="2">
        <v>0.40100000000000002</v>
      </c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47"/>
    </row>
    <row r="10" spans="2:16" x14ac:dyDescent="0.2">
      <c r="B10" s="45"/>
      <c r="C10" s="49" t="s">
        <v>64</v>
      </c>
      <c r="D10" s="10" t="s">
        <v>67</v>
      </c>
      <c r="E10" s="50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47"/>
    </row>
    <row r="11" spans="2:16" x14ac:dyDescent="0.2">
      <c r="B11" s="45"/>
      <c r="C11" s="49" t="s">
        <v>63</v>
      </c>
      <c r="D11" s="10" t="s">
        <v>67</v>
      </c>
      <c r="E11" s="50"/>
      <c r="F11" s="50"/>
      <c r="G11"/>
      <c r="H11"/>
      <c r="I11"/>
      <c r="J11"/>
      <c r="K11"/>
      <c r="L11"/>
      <c r="M11"/>
      <c r="N11"/>
      <c r="O11"/>
      <c r="P11" s="47"/>
    </row>
    <row r="12" spans="2:16" x14ac:dyDescent="0.2">
      <c r="B12" s="45"/>
      <c r="C12" s="49"/>
      <c r="D12" s="49"/>
      <c r="E12"/>
      <c r="F12" s="50"/>
      <c r="G12"/>
      <c r="H12"/>
      <c r="I12"/>
      <c r="J12"/>
      <c r="K12"/>
      <c r="L12"/>
      <c r="M12"/>
      <c r="N12"/>
      <c r="O12"/>
      <c r="P12" s="47"/>
    </row>
    <row r="13" spans="2:16" x14ac:dyDescent="0.2">
      <c r="B13" s="45"/>
      <c r="C13" s="49"/>
      <c r="D13" s="49"/>
      <c r="E13"/>
      <c r="F13"/>
      <c r="G13"/>
      <c r="H13"/>
      <c r="I13"/>
      <c r="J13"/>
      <c r="K13"/>
      <c r="L13"/>
      <c r="M13"/>
      <c r="N13"/>
      <c r="O13"/>
      <c r="P13" s="47"/>
    </row>
    <row r="14" spans="2:16" ht="17.25" thickBot="1" x14ac:dyDescent="0.3">
      <c r="B14" s="45"/>
      <c r="C14" s="49"/>
      <c r="D14" s="51" t="s">
        <v>19</v>
      </c>
      <c r="E14" s="51" t="s">
        <v>20</v>
      </c>
      <c r="F14" s="51" t="s">
        <v>21</v>
      </c>
      <c r="G14" s="51" t="s">
        <v>22</v>
      </c>
      <c r="H14" s="51" t="s">
        <v>23</v>
      </c>
      <c r="I14" s="51" t="s">
        <v>24</v>
      </c>
      <c r="J14" s="51" t="s">
        <v>25</v>
      </c>
      <c r="K14" s="51" t="s">
        <v>26</v>
      </c>
      <c r="L14" s="51" t="s">
        <v>27</v>
      </c>
      <c r="M14" s="51" t="s">
        <v>28</v>
      </c>
      <c r="N14" s="51" t="s">
        <v>29</v>
      </c>
      <c r="O14" s="51" t="s">
        <v>30</v>
      </c>
      <c r="P14" s="47"/>
    </row>
    <row r="15" spans="2:16" ht="15" thickTop="1" x14ac:dyDescent="0.2">
      <c r="B15" s="45"/>
      <c r="C15" s="49" t="s">
        <v>51</v>
      </c>
      <c r="D15" s="2">
        <v>409.88299999999998</v>
      </c>
      <c r="E15" s="2">
        <v>289.27999999999997</v>
      </c>
      <c r="F15" s="2">
        <v>270.685</v>
      </c>
      <c r="G15" s="2">
        <v>297.40100000000001</v>
      </c>
      <c r="H15" s="2">
        <v>340.12</v>
      </c>
      <c r="I15" s="2">
        <v>357.92500000000001</v>
      </c>
      <c r="J15" s="2">
        <v>415.7</v>
      </c>
      <c r="K15" s="2">
        <v>433.21</v>
      </c>
      <c r="L15" s="2">
        <v>381.58100000000002</v>
      </c>
      <c r="M15" s="2">
        <v>291.40600000000001</v>
      </c>
      <c r="N15" s="2">
        <v>315.95</v>
      </c>
      <c r="O15" s="2">
        <v>340.26400000000001</v>
      </c>
      <c r="P15" s="47"/>
    </row>
    <row r="16" spans="2:16" x14ac:dyDescent="0.2">
      <c r="B16" s="45"/>
      <c r="C16" s="49" t="s">
        <v>45</v>
      </c>
      <c r="D16" s="33">
        <f>SUM(D15:O15)</f>
        <v>4143.4049999999997</v>
      </c>
      <c r="E16"/>
      <c r="F16"/>
      <c r="G16"/>
      <c r="H16"/>
      <c r="I16"/>
      <c r="J16"/>
      <c r="K16"/>
      <c r="L16"/>
      <c r="M16"/>
      <c r="N16"/>
      <c r="O16"/>
      <c r="P16" s="47"/>
    </row>
    <row r="17" spans="2:16" ht="15" thickBot="1" x14ac:dyDescent="0.25">
      <c r="B17" s="52"/>
      <c r="C17" s="53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5"/>
    </row>
    <row r="18" spans="2:16" x14ac:dyDescent="0.2">
      <c r="B18" s="42"/>
      <c r="C18" s="56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44"/>
    </row>
    <row r="19" spans="2:16" ht="23.25" x14ac:dyDescent="0.35">
      <c r="B19" s="45"/>
      <c r="C19" s="46" t="s">
        <v>42</v>
      </c>
      <c r="D19"/>
      <c r="E19"/>
      <c r="F19"/>
      <c r="G19"/>
      <c r="H19"/>
      <c r="I19"/>
      <c r="J19"/>
      <c r="K19"/>
      <c r="L19"/>
      <c r="M19"/>
      <c r="N19"/>
      <c r="O19"/>
      <c r="P19" s="47"/>
    </row>
    <row r="20" spans="2:16" ht="6.75" customHeight="1" x14ac:dyDescent="0.2">
      <c r="B20" s="45"/>
      <c r="C20" s="49"/>
      <c r="D20"/>
      <c r="E20"/>
      <c r="F20"/>
      <c r="G20"/>
      <c r="H20"/>
      <c r="I20"/>
      <c r="J20"/>
      <c r="K20"/>
      <c r="L20"/>
      <c r="M20"/>
      <c r="N20"/>
      <c r="O20"/>
      <c r="P20" s="47"/>
    </row>
    <row r="21" spans="2:16" ht="17.25" thickBot="1" x14ac:dyDescent="0.3">
      <c r="B21" s="45"/>
      <c r="C21" s="49"/>
      <c r="D21" s="51" t="s">
        <v>19</v>
      </c>
      <c r="E21" s="51" t="s">
        <v>20</v>
      </c>
      <c r="F21" s="51" t="s">
        <v>21</v>
      </c>
      <c r="G21" s="51" t="s">
        <v>22</v>
      </c>
      <c r="H21" s="51" t="s">
        <v>23</v>
      </c>
      <c r="I21" s="51" t="s">
        <v>24</v>
      </c>
      <c r="J21" s="51" t="s">
        <v>25</v>
      </c>
      <c r="K21" s="51" t="s">
        <v>26</v>
      </c>
      <c r="L21" s="51" t="s">
        <v>27</v>
      </c>
      <c r="M21" s="51" t="s">
        <v>28</v>
      </c>
      <c r="N21" s="51" t="s">
        <v>29</v>
      </c>
      <c r="O21" s="51" t="s">
        <v>30</v>
      </c>
      <c r="P21" s="47"/>
    </row>
    <row r="22" spans="2:16" ht="15" thickTop="1" x14ac:dyDescent="0.2">
      <c r="B22" s="45"/>
      <c r="C22" s="49" t="s">
        <v>7</v>
      </c>
      <c r="D22" s="70">
        <v>1.1000000000000001</v>
      </c>
      <c r="E22" s="70">
        <v>1.1000000000000001</v>
      </c>
      <c r="F22" s="70">
        <v>1.1000000000000001</v>
      </c>
      <c r="G22" s="70">
        <v>1.1000000000000001</v>
      </c>
      <c r="H22" s="70">
        <v>1.1000000000000001</v>
      </c>
      <c r="I22" s="70">
        <v>1.1000000000000001</v>
      </c>
      <c r="J22" s="70">
        <v>1.1000000000000001</v>
      </c>
      <c r="K22" s="70">
        <v>1.1000000000000001</v>
      </c>
      <c r="L22" s="70">
        <v>1.1000000000000001</v>
      </c>
      <c r="M22" s="70">
        <v>1.1000000000000001</v>
      </c>
      <c r="N22" s="70">
        <v>1.1000000000000001</v>
      </c>
      <c r="O22" s="70">
        <v>1.1000000000000001</v>
      </c>
      <c r="P22" s="47"/>
    </row>
    <row r="23" spans="2:16" x14ac:dyDescent="0.2">
      <c r="B23" s="45"/>
      <c r="C23" s="49" t="s">
        <v>8</v>
      </c>
      <c r="D23" s="70">
        <v>0</v>
      </c>
      <c r="E23" s="70">
        <v>0</v>
      </c>
      <c r="F23" s="70">
        <v>0</v>
      </c>
      <c r="G23" s="70">
        <v>0</v>
      </c>
      <c r="H23" s="70">
        <v>0</v>
      </c>
      <c r="I23" s="70">
        <v>0</v>
      </c>
      <c r="J23" s="70">
        <v>0</v>
      </c>
      <c r="K23" s="70">
        <v>0</v>
      </c>
      <c r="L23" s="70">
        <v>0</v>
      </c>
      <c r="M23" s="70">
        <v>0</v>
      </c>
      <c r="N23" s="70">
        <v>0</v>
      </c>
      <c r="O23" s="70">
        <v>0</v>
      </c>
      <c r="P23" s="47"/>
    </row>
    <row r="24" spans="2:16" x14ac:dyDescent="0.2">
      <c r="B24" s="45"/>
      <c r="C24" s="49" t="s">
        <v>33</v>
      </c>
      <c r="D24" s="2">
        <v>0.98499999999999999</v>
      </c>
      <c r="E24" s="2">
        <v>0.84299999999999997</v>
      </c>
      <c r="F24" s="2">
        <v>0.66100000000000003</v>
      </c>
      <c r="G24" s="2">
        <v>0.86599999999999999</v>
      </c>
      <c r="H24" s="2">
        <v>0.84499999999999997</v>
      </c>
      <c r="I24" s="2">
        <v>0.998</v>
      </c>
      <c r="J24" s="2">
        <v>1.0820000000000001</v>
      </c>
      <c r="K24" s="2">
        <v>1.0589999999999999</v>
      </c>
      <c r="L24" s="2">
        <v>0.999</v>
      </c>
      <c r="M24" s="2">
        <v>0.84499999999999997</v>
      </c>
      <c r="N24" s="2">
        <v>0.85299999999999998</v>
      </c>
      <c r="O24" s="2">
        <v>0.89400000000000002</v>
      </c>
      <c r="P24" s="47"/>
    </row>
    <row r="25" spans="2:16" x14ac:dyDescent="0.2">
      <c r="B25" s="45"/>
      <c r="C25" s="49"/>
      <c r="D25"/>
      <c r="E25"/>
      <c r="F25"/>
      <c r="G25"/>
      <c r="H25"/>
      <c r="I25"/>
      <c r="J25"/>
      <c r="K25"/>
      <c r="L25"/>
      <c r="M25"/>
      <c r="N25"/>
      <c r="O25"/>
      <c r="P25" s="47"/>
    </row>
    <row r="26" spans="2:16" ht="17.25" thickBot="1" x14ac:dyDescent="0.3">
      <c r="B26" s="45"/>
      <c r="C26" s="49"/>
      <c r="D26" s="41" t="s">
        <v>0</v>
      </c>
      <c r="E26"/>
      <c r="F26"/>
      <c r="G26"/>
      <c r="H26"/>
      <c r="I26"/>
      <c r="J26"/>
      <c r="K26"/>
      <c r="L26"/>
      <c r="M26"/>
      <c r="N26"/>
      <c r="O26"/>
      <c r="P26" s="47"/>
    </row>
    <row r="27" spans="2:16" ht="15" thickTop="1" x14ac:dyDescent="0.2">
      <c r="B27" s="45"/>
      <c r="C27" s="49" t="s">
        <v>9</v>
      </c>
      <c r="D27" s="34">
        <f>VLOOKUP(CONCATENATE($D$6,$D$7),Ceník!$A$4:$J$11,4,0)</f>
        <v>252565</v>
      </c>
      <c r="E27" s="14" t="str">
        <f>IF($D$10="Ano","Při volbě výrobce první kategorie je platba složena pouze z ceny za použití sítí","")</f>
        <v/>
      </c>
      <c r="F27"/>
      <c r="G27"/>
      <c r="H27"/>
      <c r="I27"/>
      <c r="J27"/>
      <c r="K27"/>
      <c r="L27"/>
      <c r="M27"/>
      <c r="N27"/>
      <c r="O27"/>
      <c r="P27" s="47"/>
    </row>
    <row r="28" spans="2:16" x14ac:dyDescent="0.2">
      <c r="B28" s="45"/>
      <c r="C28" s="49" t="s">
        <v>10</v>
      </c>
      <c r="D28" s="34">
        <f>VLOOKUP(CONCATENATE($D$6,$D$7),Ceník!$A$4:$J$11,5,0)</f>
        <v>281823</v>
      </c>
      <c r="E28" s="14" t="str">
        <f>IF($D$10="Ano","Při volbě výrobce první kategorie je platba složena pouze z ceny za použití sítí","")</f>
        <v/>
      </c>
      <c r="F28"/>
      <c r="G28"/>
      <c r="H28"/>
      <c r="I28"/>
      <c r="J28"/>
      <c r="K28"/>
      <c r="L28"/>
      <c r="M28"/>
      <c r="N28"/>
      <c r="O28"/>
      <c r="P28" s="47"/>
    </row>
    <row r="29" spans="2:16" ht="15" thickTop="1" x14ac:dyDescent="0.2">
      <c r="B29" s="45"/>
      <c r="C29" s="49" t="s">
        <v>11</v>
      </c>
      <c r="D29" s="34">
        <f>VLOOKUP(CONCATENATE($D$6,$D$7),Ceník!$A$4:$J$11,6,0)</f>
        <v>106.22</v>
      </c>
      <c r="E29" s="14"/>
      <c r="F29"/>
      <c r="G29"/>
      <c r="H29"/>
      <c r="I29"/>
      <c r="J29"/>
      <c r="K29"/>
      <c r="L29"/>
      <c r="M29"/>
      <c r="N29"/>
      <c r="O29"/>
      <c r="P29" s="47"/>
    </row>
    <row r="30" spans="2:16" x14ac:dyDescent="0.2">
      <c r="B30" s="45"/>
      <c r="C30" s="49"/>
      <c r="D30"/>
      <c r="E30"/>
      <c r="F30"/>
      <c r="G30"/>
      <c r="H30"/>
      <c r="I30"/>
      <c r="J30"/>
      <c r="K30"/>
      <c r="L30"/>
      <c r="M30"/>
      <c r="N30"/>
      <c r="O30"/>
      <c r="P30" s="47"/>
    </row>
    <row r="31" spans="2:16" ht="16.5" x14ac:dyDescent="0.25">
      <c r="B31" s="45"/>
      <c r="C31" s="49"/>
      <c r="D31" s="35" t="s">
        <v>73</v>
      </c>
      <c r="E31"/>
      <c r="F31"/>
      <c r="G31"/>
      <c r="H31"/>
      <c r="I31"/>
      <c r="J31"/>
      <c r="K31"/>
      <c r="L31"/>
      <c r="M31"/>
      <c r="N31"/>
      <c r="O31"/>
      <c r="P31" s="47"/>
    </row>
    <row r="32" spans="2:16" ht="17.25" thickBot="1" x14ac:dyDescent="0.3">
      <c r="B32" s="45"/>
      <c r="C32" s="49"/>
      <c r="D32" s="51" t="s">
        <v>19</v>
      </c>
      <c r="E32" s="51" t="s">
        <v>20</v>
      </c>
      <c r="F32" s="51" t="s">
        <v>21</v>
      </c>
      <c r="G32" s="51" t="s">
        <v>22</v>
      </c>
      <c r="H32" s="51" t="s">
        <v>23</v>
      </c>
      <c r="I32" s="51" t="s">
        <v>24</v>
      </c>
      <c r="J32" s="51" t="s">
        <v>25</v>
      </c>
      <c r="K32" s="51" t="s">
        <v>26</v>
      </c>
      <c r="L32" s="51" t="s">
        <v>27</v>
      </c>
      <c r="M32" s="51" t="s">
        <v>28</v>
      </c>
      <c r="N32" s="51" t="s">
        <v>29</v>
      </c>
      <c r="O32" s="51" t="s">
        <v>30</v>
      </c>
      <c r="P32" s="47"/>
    </row>
    <row r="33" spans="2:16" ht="15" thickTop="1" x14ac:dyDescent="0.2">
      <c r="B33" s="45"/>
      <c r="C33" s="49" t="s">
        <v>52</v>
      </c>
      <c r="D33" s="36">
        <f>(D22*$D$27+D23*$D$28+MAX(0,D24-D23-D22)*$D$28*1.5)*($D$10&lt;&gt;"Ano")+$D$29*D15</f>
        <v>321359.27226</v>
      </c>
      <c r="E33" s="36">
        <f t="shared" ref="E33:O33" si="0">(E22*$D$27+E23*$D$28+MAX(0,E24-E23-E22)*$D$28*1.5)*($D$10&lt;&gt;"Ano")+$D$29*E15</f>
        <v>308548.82160000002</v>
      </c>
      <c r="F33" s="36">
        <f t="shared" si="0"/>
        <v>306573.66070000001</v>
      </c>
      <c r="G33" s="36">
        <f t="shared" si="0"/>
        <v>309411.43422</v>
      </c>
      <c r="H33" s="36">
        <f t="shared" si="0"/>
        <v>313949.04639999999</v>
      </c>
      <c r="I33" s="36">
        <f t="shared" si="0"/>
        <v>315840.29350000003</v>
      </c>
      <c r="J33" s="36">
        <f t="shared" si="0"/>
        <v>321977.15399999998</v>
      </c>
      <c r="K33" s="36">
        <f t="shared" si="0"/>
        <v>323837.0662</v>
      </c>
      <c r="L33" s="36">
        <f t="shared" si="0"/>
        <v>318353.03382000001</v>
      </c>
      <c r="M33" s="36">
        <f t="shared" si="0"/>
        <v>308774.64532000001</v>
      </c>
      <c r="N33" s="36">
        <f t="shared" si="0"/>
        <v>311381.70899999997</v>
      </c>
      <c r="O33" s="36">
        <f t="shared" si="0"/>
        <v>313964.34207999997</v>
      </c>
      <c r="P33" s="47"/>
    </row>
    <row r="34" spans="2:16" ht="15.75" thickBot="1" x14ac:dyDescent="0.3">
      <c r="B34" s="45"/>
      <c r="C34" s="37" t="s">
        <v>31</v>
      </c>
      <c r="D34" s="38">
        <f>SUM(D33:O33)</f>
        <v>3773970.4790999996</v>
      </c>
      <c r="E34" s="74" t="str">
        <f>IF(OR(ISBLANK(D40),ISBLANK(E40),ISBLANK(F40),ISBLANK(G40),ISBLANK(H40),ISBLANK(I40),ISBLANK(J40),ISBLANK(K40),ISBLANK(L40),ISBLANK(M40),ISBLANK(N40),ISBLANK(O40)),"",IF(OR(D41&gt;D40,E41&gt;E40,F41&gt;F40,G41&gt;G40,H41&gt;H40,I41&gt;I40,J41&gt;J40,K41&gt;K40,L41&gt;L40,M41&gt;M40,N41&gt;N40,O41&gt;O40),"Není započtena cena za překročení rezervovaného příkonu",""))</f>
        <v/>
      </c>
      <c r="F34"/>
      <c r="G34"/>
      <c r="H34"/>
      <c r="I34"/>
      <c r="J34"/>
      <c r="K34"/>
      <c r="L34"/>
      <c r="M34"/>
      <c r="N34"/>
      <c r="O34"/>
      <c r="P34" s="47"/>
    </row>
    <row r="35" spans="2:16" ht="16.5" thickTop="1" thickBot="1" x14ac:dyDescent="0.3">
      <c r="B35" s="52"/>
      <c r="C35" s="59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55"/>
    </row>
    <row r="36" spans="2:16" ht="15" customHeight="1" x14ac:dyDescent="0.25">
      <c r="B36" s="42"/>
      <c r="C36" s="61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44"/>
    </row>
    <row r="37" spans="2:16" ht="23.25" customHeight="1" x14ac:dyDescent="0.35">
      <c r="B37" s="45"/>
      <c r="C37" s="46" t="s">
        <v>43</v>
      </c>
      <c r="D37"/>
      <c r="E37"/>
      <c r="F37"/>
      <c r="G37"/>
      <c r="H37"/>
      <c r="I37"/>
      <c r="J37"/>
      <c r="K37"/>
      <c r="L37"/>
      <c r="M37"/>
      <c r="N37"/>
      <c r="O37"/>
      <c r="P37" s="47"/>
    </row>
    <row r="38" spans="2:16" ht="6.75" customHeight="1" x14ac:dyDescent="0.2">
      <c r="B38" s="45"/>
      <c r="C38" s="49"/>
      <c r="D38"/>
      <c r="E38"/>
      <c r="F38"/>
      <c r="G38"/>
      <c r="H38"/>
      <c r="I38"/>
      <c r="J38"/>
      <c r="K38"/>
      <c r="L38"/>
      <c r="M38"/>
      <c r="N38"/>
      <c r="O38"/>
      <c r="P38" s="47"/>
    </row>
    <row r="39" spans="2:16" ht="18" customHeight="1" thickBot="1" x14ac:dyDescent="0.3">
      <c r="B39" s="45"/>
      <c r="C39" s="49"/>
      <c r="D39" s="51" t="s">
        <v>19</v>
      </c>
      <c r="E39" s="51" t="s">
        <v>20</v>
      </c>
      <c r="F39" s="51" t="s">
        <v>21</v>
      </c>
      <c r="G39" s="51" t="s">
        <v>22</v>
      </c>
      <c r="H39" s="51" t="s">
        <v>23</v>
      </c>
      <c r="I39" s="51" t="s">
        <v>24</v>
      </c>
      <c r="J39" s="51" t="s">
        <v>25</v>
      </c>
      <c r="K39" s="51" t="s">
        <v>26</v>
      </c>
      <c r="L39" s="51" t="s">
        <v>27</v>
      </c>
      <c r="M39" s="51" t="s">
        <v>28</v>
      </c>
      <c r="N39" s="51" t="s">
        <v>29</v>
      </c>
      <c r="O39" s="51" t="s">
        <v>30</v>
      </c>
      <c r="P39" s="47"/>
    </row>
    <row r="40" spans="2:16" ht="15" customHeight="1" thickTop="1" x14ac:dyDescent="0.2">
      <c r="B40" s="45"/>
      <c r="C40" s="49" t="s">
        <v>32</v>
      </c>
      <c r="D40" s="2">
        <v>1.4</v>
      </c>
      <c r="E40" s="2">
        <v>1.4</v>
      </c>
      <c r="F40" s="2">
        <v>1.4</v>
      </c>
      <c r="G40" s="2">
        <v>1.4</v>
      </c>
      <c r="H40" s="2">
        <v>1.4</v>
      </c>
      <c r="I40" s="2">
        <v>1.4</v>
      </c>
      <c r="J40" s="2">
        <v>1.4</v>
      </c>
      <c r="K40" s="2">
        <v>1.4</v>
      </c>
      <c r="L40" s="2">
        <v>1.4</v>
      </c>
      <c r="M40" s="2">
        <v>1.4</v>
      </c>
      <c r="N40" s="2">
        <v>1.4</v>
      </c>
      <c r="O40" s="2">
        <v>1.4</v>
      </c>
      <c r="P40" s="47"/>
    </row>
    <row r="41" spans="2:16" ht="15" customHeight="1" x14ac:dyDescent="0.2">
      <c r="B41" s="45"/>
      <c r="C41" s="49" t="s">
        <v>33</v>
      </c>
      <c r="D41" s="33">
        <f>D24</f>
        <v>0.98499999999999999</v>
      </c>
      <c r="E41" s="33">
        <f t="shared" ref="E41:O41" si="1">E24</f>
        <v>0.84299999999999997</v>
      </c>
      <c r="F41" s="33">
        <f t="shared" si="1"/>
        <v>0.66100000000000003</v>
      </c>
      <c r="G41" s="33">
        <f t="shared" si="1"/>
        <v>0.86599999999999999</v>
      </c>
      <c r="H41" s="33">
        <f t="shared" si="1"/>
        <v>0.84499999999999997</v>
      </c>
      <c r="I41" s="33">
        <f t="shared" si="1"/>
        <v>0.998</v>
      </c>
      <c r="J41" s="33">
        <f t="shared" si="1"/>
        <v>1.0820000000000001</v>
      </c>
      <c r="K41" s="33">
        <f t="shared" si="1"/>
        <v>1.0589999999999999</v>
      </c>
      <c r="L41" s="33">
        <f t="shared" si="1"/>
        <v>0.999</v>
      </c>
      <c r="M41" s="33">
        <f t="shared" si="1"/>
        <v>0.84499999999999997</v>
      </c>
      <c r="N41" s="33">
        <f t="shared" si="1"/>
        <v>0.85299999999999998</v>
      </c>
      <c r="O41" s="33">
        <f t="shared" si="1"/>
        <v>0.89400000000000002</v>
      </c>
      <c r="P41" s="47"/>
    </row>
    <row r="42" spans="2:16" ht="22.5" customHeight="1" x14ac:dyDescent="0.2">
      <c r="B42" s="45"/>
      <c r="C42" s="49"/>
      <c r="D42" s="62" t="str">
        <f>IF(ISBLANK(D40),"",IF(D41&gt;D40,"RP &lt; Pmax",IF(SUM(D22:D23)&gt;D40,"RP &lt; RK","")))</f>
        <v/>
      </c>
      <c r="E42" s="62" t="str">
        <f t="shared" ref="E42:O42" si="2">IF(ISBLANK(E40),"",IF(E41&gt;E40,"RP &lt; Pmax",IF(SUM(E22:E23)&gt;E40,"RP &lt; RK","")))</f>
        <v/>
      </c>
      <c r="F42" s="62" t="str">
        <f t="shared" si="2"/>
        <v/>
      </c>
      <c r="G42" s="62" t="str">
        <f t="shared" si="2"/>
        <v/>
      </c>
      <c r="H42" s="62" t="str">
        <f t="shared" si="2"/>
        <v/>
      </c>
      <c r="I42" s="62" t="str">
        <f t="shared" si="2"/>
        <v/>
      </c>
      <c r="J42" s="62" t="str">
        <f t="shared" si="2"/>
        <v/>
      </c>
      <c r="K42" s="62" t="str">
        <f t="shared" si="2"/>
        <v/>
      </c>
      <c r="L42" s="62" t="str">
        <f t="shared" si="2"/>
        <v/>
      </c>
      <c r="M42" s="62" t="str">
        <f t="shared" si="2"/>
        <v/>
      </c>
      <c r="N42" s="62" t="str">
        <f t="shared" si="2"/>
        <v/>
      </c>
      <c r="O42" s="62" t="str">
        <f t="shared" si="2"/>
        <v/>
      </c>
      <c r="P42" s="47"/>
    </row>
    <row r="43" spans="2:16" ht="15" customHeight="1" thickBot="1" x14ac:dyDescent="0.3">
      <c r="B43" s="45"/>
      <c r="C43" s="49"/>
      <c r="D43" s="41" t="s">
        <v>0</v>
      </c>
      <c r="E43"/>
      <c r="F43"/>
      <c r="G43"/>
      <c r="H43"/>
      <c r="I43"/>
      <c r="J43"/>
      <c r="K43"/>
      <c r="L43"/>
      <c r="M43"/>
      <c r="N43"/>
      <c r="O43"/>
      <c r="P43" s="47"/>
    </row>
    <row r="44" spans="2:16" ht="15" customHeight="1" thickTop="1" x14ac:dyDescent="0.2">
      <c r="B44" s="45"/>
      <c r="C44" s="49" t="s">
        <v>36</v>
      </c>
      <c r="D44" s="49" t="str">
        <f>IF(((VLOOKUP(CONCATENATE($D$6,$D$7),Ceník!$A$20:$G$27,4,0)*D40+IF(D41=0,0,D41*VLOOKUP(CONCATENATE($D$6,$D$7),Ceník!$A$20:$G$27,6,0)*IF($D$11="Ano",(1-MIN(1,($D$9*VLOOKUP($D$8,Ceník!$L$20:$M$26,2,0))/D41)),1)))&lt;(VLOOKUP(CONCATENATE($D$6,$D$7),Ceník!$A$20:$G$27,5,0)*D40+IF(D41=0,0,D41*VLOOKUP(CONCATENATE($D$6,$D$7),Ceník!$A$20:$G$27,7,0)*IF($D$11="Ano",(1-MIN(1,($D$9*VLOOKUP($D$8,Ceník!$L$20:$M$26,2,0))/D41)),1)))),"T1","T2")</f>
        <v>T2</v>
      </c>
      <c r="E44" s="49" t="str">
        <f>IF(((VLOOKUP(CONCATENATE($D$6,$D$7),Ceník!$A$20:$G$27,4,0)*E40+IF(E41=0,0,E41*VLOOKUP(CONCATENATE($D$6,$D$7),Ceník!$A$20:$G$27,6,0)*IF($D$11="Ano",(1-MIN(1,($D$9*VLOOKUP($D$8,Ceník!$L$20:$M$26,2,0))/E41)),1)))&lt;(VLOOKUP(CONCATENATE($D$6,$D$7),Ceník!$A$20:$G$27,5,0)*E40+IF(E41=0,0,E41*VLOOKUP(CONCATENATE($D$6,$D$7),Ceník!$A$20:$G$27,7,0)*IF($D$11="Ano",(1-MIN(1,($D$9*VLOOKUP($D$8,Ceník!$L$20:$M$26,2,0))/E41)),1)))),"T1","T2")</f>
        <v>T2</v>
      </c>
      <c r="F44" s="49" t="str">
        <f>IF(((VLOOKUP(CONCATENATE($D$6,$D$7),Ceník!$A$20:$G$27,4,0)*F40+IF(F41=0,0,F41*VLOOKUP(CONCATENATE($D$6,$D$7),Ceník!$A$20:$G$27,6,0)*IF($D$11="Ano",(1-MIN(1,($D$9*VLOOKUP($D$8,Ceník!$L$20:$M$26,2,0))/F41)),1)))&lt;(VLOOKUP(CONCATENATE($D$6,$D$7),Ceník!$A$20:$G$27,5,0)*F40+IF(F41=0,0,F41*VLOOKUP(CONCATENATE($D$6,$D$7),Ceník!$A$20:$G$27,7,0)*IF($D$11="Ano",(1-MIN(1,($D$9*VLOOKUP($D$8,Ceník!$L$20:$M$26,2,0))/F41)),1)))),"T1","T2")</f>
        <v>T2</v>
      </c>
      <c r="G44" s="49" t="str">
        <f>IF(((VLOOKUP(CONCATENATE($D$6,$D$7),Ceník!$A$20:$G$27,4,0)*G40+IF(G41=0,0,G41*VLOOKUP(CONCATENATE($D$6,$D$7),Ceník!$A$20:$G$27,6,0)*IF($D$11="Ano",(1-MIN(1,($D$9*VLOOKUP($D$8,Ceník!$L$20:$M$26,2,0))/G41)),1)))&lt;(VLOOKUP(CONCATENATE($D$6,$D$7),Ceník!$A$20:$G$27,5,0)*G40+IF(G41=0,0,G41*VLOOKUP(CONCATENATE($D$6,$D$7),Ceník!$A$20:$G$27,7,0)*IF($D$11="Ano",(1-MIN(1,($D$9*VLOOKUP($D$8,Ceník!$L$20:$M$26,2,0))/G41)),1)))),"T1","T2")</f>
        <v>T2</v>
      </c>
      <c r="H44" s="49" t="str">
        <f>IF(((VLOOKUP(CONCATENATE($D$6,$D$7),Ceník!$A$20:$G$27,4,0)*H40+IF(H41=0,0,H41*VLOOKUP(CONCATENATE($D$6,$D$7),Ceník!$A$20:$G$27,6,0)*IF($D$11="Ano",(1-MIN(1,($D$9*VLOOKUP($D$8,Ceník!$L$20:$M$26,2,0))/H41)),1)))&lt;(VLOOKUP(CONCATENATE($D$6,$D$7),Ceník!$A$20:$G$27,5,0)*H40+IF(H41=0,0,H41*VLOOKUP(CONCATENATE($D$6,$D$7),Ceník!$A$20:$G$27,7,0)*IF($D$11="Ano",(1-MIN(1,($D$9*VLOOKUP($D$8,Ceník!$L$20:$M$26,2,0))/H41)),1)))),"T1","T2")</f>
        <v>T2</v>
      </c>
      <c r="I44" s="49" t="str">
        <f>IF(((VLOOKUP(CONCATENATE($D$6,$D$7),Ceník!$A$20:$G$27,4,0)*I40+IF(I41=0,0,I41*VLOOKUP(CONCATENATE($D$6,$D$7),Ceník!$A$20:$G$27,6,0)*IF($D$11="Ano",(1-MIN(1,($D$9*VLOOKUP($D$8,Ceník!$L$20:$M$26,2,0))/I41)),1)))&lt;(VLOOKUP(CONCATENATE($D$6,$D$7),Ceník!$A$20:$G$27,5,0)*I40+IF(I41=0,0,I41*VLOOKUP(CONCATENATE($D$6,$D$7),Ceník!$A$20:$G$27,7,0)*IF($D$11="Ano",(1-MIN(1,($D$9*VLOOKUP($D$8,Ceník!$L$20:$M$26,2,0))/I41)),1)))),"T1","T2")</f>
        <v>T2</v>
      </c>
      <c r="J44" s="49" t="str">
        <f>IF(((VLOOKUP(CONCATENATE($D$6,$D$7),Ceník!$A$20:$G$27,4,0)*J40+IF(J41=0,0,J41*VLOOKUP(CONCATENATE($D$6,$D$7),Ceník!$A$20:$G$27,6,0)*IF($D$11="Ano",(1-MIN(1,($D$9*VLOOKUP($D$8,Ceník!$L$20:$M$26,2,0))/J41)),1)))&lt;(VLOOKUP(CONCATENATE($D$6,$D$7),Ceník!$A$20:$G$27,5,0)*J40+IF(J41=0,0,J41*VLOOKUP(CONCATENATE($D$6,$D$7),Ceník!$A$20:$G$27,7,0)*IF($D$11="Ano",(1-MIN(1,($D$9*VLOOKUP($D$8,Ceník!$L$20:$M$26,2,0))/J41)),1)))),"T1","T2")</f>
        <v>T2</v>
      </c>
      <c r="K44" s="49" t="str">
        <f>IF(((VLOOKUP(CONCATENATE($D$6,$D$7),Ceník!$A$20:$G$27,4,0)*K40+IF(K41=0,0,K41*VLOOKUP(CONCATENATE($D$6,$D$7),Ceník!$A$20:$G$27,6,0)*IF($D$11="Ano",(1-MIN(1,($D$9*VLOOKUP($D$8,Ceník!$L$20:$M$26,2,0))/K41)),1)))&lt;(VLOOKUP(CONCATENATE($D$6,$D$7),Ceník!$A$20:$G$27,5,0)*K40+IF(K41=0,0,K41*VLOOKUP(CONCATENATE($D$6,$D$7),Ceník!$A$20:$G$27,7,0)*IF($D$11="Ano",(1-MIN(1,($D$9*VLOOKUP($D$8,Ceník!$L$20:$M$26,2,0))/K41)),1)))),"T1","T2")</f>
        <v>T2</v>
      </c>
      <c r="L44" s="49" t="str">
        <f>IF(((VLOOKUP(CONCATENATE($D$6,$D$7),Ceník!$A$20:$G$27,4,0)*L40+IF(L41=0,0,L41*VLOOKUP(CONCATENATE($D$6,$D$7),Ceník!$A$20:$G$27,6,0)*IF($D$11="Ano",(1-MIN(1,($D$9*VLOOKUP($D$8,Ceník!$L$20:$M$26,2,0))/L41)),1)))&lt;(VLOOKUP(CONCATENATE($D$6,$D$7),Ceník!$A$20:$G$27,5,0)*L40+IF(L41=0,0,L41*VLOOKUP(CONCATENATE($D$6,$D$7),Ceník!$A$20:$G$27,7,0)*IF($D$11="Ano",(1-MIN(1,($D$9*VLOOKUP($D$8,Ceník!$L$20:$M$26,2,0))/L41)),1)))),"T1","T2")</f>
        <v>T2</v>
      </c>
      <c r="M44" s="49" t="str">
        <f>IF(((VLOOKUP(CONCATENATE($D$6,$D$7),Ceník!$A$20:$G$27,4,0)*M40+IF(M41=0,0,M41*VLOOKUP(CONCATENATE($D$6,$D$7),Ceník!$A$20:$G$27,6,0)*IF($D$11="Ano",(1-MIN(1,($D$9*VLOOKUP($D$8,Ceník!$L$20:$M$26,2,0))/M41)),1)))&lt;(VLOOKUP(CONCATENATE($D$6,$D$7),Ceník!$A$20:$G$27,5,0)*M40+IF(M41=0,0,M41*VLOOKUP(CONCATENATE($D$6,$D$7),Ceník!$A$20:$G$27,7,0)*IF($D$11="Ano",(1-MIN(1,($D$9*VLOOKUP($D$8,Ceník!$L$20:$M$26,2,0))/M41)),1)))),"T1","T2")</f>
        <v>T2</v>
      </c>
      <c r="N44" s="49" t="str">
        <f>IF(((VLOOKUP(CONCATENATE($D$6,$D$7),Ceník!$A$20:$G$27,4,0)*N40+IF(N41=0,0,N41*VLOOKUP(CONCATENATE($D$6,$D$7),Ceník!$A$20:$G$27,6,0)*IF($D$11="Ano",(1-MIN(1,($D$9*VLOOKUP($D$8,Ceník!$L$20:$M$26,2,0))/N41)),1)))&lt;(VLOOKUP(CONCATENATE($D$6,$D$7),Ceník!$A$20:$G$27,5,0)*N40+IF(N41=0,0,N41*VLOOKUP(CONCATENATE($D$6,$D$7),Ceník!$A$20:$G$27,7,0)*IF($D$11="Ano",(1-MIN(1,($D$9*VLOOKUP($D$8,Ceník!$L$20:$M$26,2,0))/N41)),1)))),"T1","T2")</f>
        <v>T2</v>
      </c>
      <c r="O44" s="49" t="str">
        <f>IF(((VLOOKUP(CONCATENATE($D$6,$D$7),Ceník!$A$20:$G$27,4,0)*O40+IF(O41=0,0,O41*VLOOKUP(CONCATENATE($D$6,$D$7),Ceník!$A$20:$G$27,6,0)*IF($D$11="Ano",(1-MIN(1,($D$9*VLOOKUP($D$8,Ceník!$L$20:$M$26,2,0))/O41)),1)))&lt;(VLOOKUP(CONCATENATE($D$6,$D$7),Ceník!$A$20:$G$27,5,0)*O40+IF(O41=0,0,O41*VLOOKUP(CONCATENATE($D$6,$D$7),Ceník!$A$20:$G$27,7,0)*IF($D$11="Ano",(1-MIN(1,($D$9*VLOOKUP($D$8,Ceník!$L$20:$M$26,2,0))/O41)),1)))),"T1","T2")</f>
        <v>T2</v>
      </c>
      <c r="P44" s="47"/>
    </row>
    <row r="45" spans="2:16" ht="15" customHeight="1" x14ac:dyDescent="0.2">
      <c r="B45" s="45"/>
      <c r="C45" s="49" t="s">
        <v>34</v>
      </c>
      <c r="D45" s="34">
        <f>IF(D44="T1",VLOOKUP(CONCATENATE($D$6,$D$7),Ceník!$A$20:$G$27,4,0),VLOOKUP(CONCATENATE($D$6,$D$7),Ceník!$A$20:$G$27,5,0))</f>
        <v>22743</v>
      </c>
      <c r="E45" s="34">
        <f>IF(E44="T1",VLOOKUP(CONCATENATE($D$6,$D$7),Ceník!$A$20:$G$27,4,0),VLOOKUP(CONCATENATE($D$6,$D$7),Ceník!$A$20:$G$27,5,0))</f>
        <v>22743</v>
      </c>
      <c r="F45" s="34">
        <f>IF(F44="T1",VLOOKUP(CONCATENATE($D$6,$D$7),Ceník!$A$20:$G$27,4,0),VLOOKUP(CONCATENATE($D$6,$D$7),Ceník!$A$20:$G$27,5,0))</f>
        <v>22743</v>
      </c>
      <c r="G45" s="34">
        <f>IF(G44="T1",VLOOKUP(CONCATENATE($D$6,$D$7),Ceník!$A$20:$G$27,4,0),VLOOKUP(CONCATENATE($D$6,$D$7),Ceník!$A$20:$G$27,5,0))</f>
        <v>22743</v>
      </c>
      <c r="H45" s="34">
        <f>IF(H44="T1",VLOOKUP(CONCATENATE($D$6,$D$7),Ceník!$A$20:$G$27,4,0),VLOOKUP(CONCATENATE($D$6,$D$7),Ceník!$A$20:$G$27,5,0))</f>
        <v>22743</v>
      </c>
      <c r="I45" s="34">
        <f>IF(I44="T1",VLOOKUP(CONCATENATE($D$6,$D$7),Ceník!$A$20:$G$27,4,0),VLOOKUP(CONCATENATE($D$6,$D$7),Ceník!$A$20:$G$27,5,0))</f>
        <v>22743</v>
      </c>
      <c r="J45" s="34">
        <f>IF(J44="T1",VLOOKUP(CONCATENATE($D$6,$D$7),Ceník!$A$20:$G$27,4,0),VLOOKUP(CONCATENATE($D$6,$D$7),Ceník!$A$20:$G$27,5,0))</f>
        <v>22743</v>
      </c>
      <c r="K45" s="34">
        <f>IF(K44="T1",VLOOKUP(CONCATENATE($D$6,$D$7),Ceník!$A$20:$G$27,4,0),VLOOKUP(CONCATENATE($D$6,$D$7),Ceník!$A$20:$G$27,5,0))</f>
        <v>22743</v>
      </c>
      <c r="L45" s="34">
        <f>IF(L44="T1",VLOOKUP(CONCATENATE($D$6,$D$7),Ceník!$A$20:$G$27,4,0),VLOOKUP(CONCATENATE($D$6,$D$7),Ceník!$A$20:$G$27,5,0))</f>
        <v>22743</v>
      </c>
      <c r="M45" s="34">
        <f>IF(M44="T1",VLOOKUP(CONCATENATE($D$6,$D$7),Ceník!$A$20:$G$27,4,0),VLOOKUP(CONCATENATE($D$6,$D$7),Ceník!$A$20:$G$27,5,0))</f>
        <v>22743</v>
      </c>
      <c r="N45" s="34">
        <f>IF(N44="T1",VLOOKUP(CONCATENATE($D$6,$D$7),Ceník!$A$20:$G$27,4,0),VLOOKUP(CONCATENATE($D$6,$D$7),Ceník!$A$20:$G$27,5,0))</f>
        <v>22743</v>
      </c>
      <c r="O45" s="34">
        <f>IF(O44="T1",VLOOKUP(CONCATENATE($D$6,$D$7),Ceník!$A$20:$G$27,4,0),VLOOKUP(CONCATENATE($D$6,$D$7),Ceník!$A$20:$G$27,5,0))</f>
        <v>22743</v>
      </c>
      <c r="P45" s="47"/>
    </row>
    <row r="46" spans="2:16" ht="15" customHeight="1" x14ac:dyDescent="0.2">
      <c r="B46" s="45"/>
      <c r="C46" s="49" t="s">
        <v>35</v>
      </c>
      <c r="D46" s="34">
        <f>IF(D44="T1",VLOOKUP(CONCATENATE($D$6,$D$7),Ceník!$A$20:$G$27,6,0),VLOOKUP(CONCATENATE($D$6,$D$7),Ceník!$A$20:$G$27,7,0))</f>
        <v>227429</v>
      </c>
      <c r="E46" s="34">
        <f>IF(E44="T1",VLOOKUP(CONCATENATE($D$6,$D$7),Ceník!$A$20:$G$27,6,0),VLOOKUP(CONCATENATE($D$6,$D$7),Ceník!$A$20:$G$27,7,0))</f>
        <v>227429</v>
      </c>
      <c r="F46" s="34">
        <f>IF(F44="T1",VLOOKUP(CONCATENATE($D$6,$D$7),Ceník!$A$20:$G$27,6,0),VLOOKUP(CONCATENATE($D$6,$D$7),Ceník!$A$20:$G$27,7,0))</f>
        <v>227429</v>
      </c>
      <c r="G46" s="34">
        <f>IF(G44="T1",VLOOKUP(CONCATENATE($D$6,$D$7),Ceník!$A$20:$G$27,6,0),VLOOKUP(CONCATENATE($D$6,$D$7),Ceník!$A$20:$G$27,7,0))</f>
        <v>227429</v>
      </c>
      <c r="H46" s="34">
        <f>IF(H44="T1",VLOOKUP(CONCATENATE($D$6,$D$7),Ceník!$A$20:$G$27,6,0),VLOOKUP(CONCATENATE($D$6,$D$7),Ceník!$A$20:$G$27,7,0))</f>
        <v>227429</v>
      </c>
      <c r="I46" s="34">
        <f>IF(I44="T1",VLOOKUP(CONCATENATE($D$6,$D$7),Ceník!$A$20:$G$27,6,0),VLOOKUP(CONCATENATE($D$6,$D$7),Ceník!$A$20:$G$27,7,0))</f>
        <v>227429</v>
      </c>
      <c r="J46" s="34">
        <f>IF(J44="T1",VLOOKUP(CONCATENATE($D$6,$D$7),Ceník!$A$20:$G$27,6,0),VLOOKUP(CONCATENATE($D$6,$D$7),Ceník!$A$20:$G$27,7,0))</f>
        <v>227429</v>
      </c>
      <c r="K46" s="34">
        <f>IF(K44="T1",VLOOKUP(CONCATENATE($D$6,$D$7),Ceník!$A$20:$G$27,6,0),VLOOKUP(CONCATENATE($D$6,$D$7),Ceník!$A$20:$G$27,7,0))</f>
        <v>227429</v>
      </c>
      <c r="L46" s="34">
        <f>IF(L44="T1",VLOOKUP(CONCATENATE($D$6,$D$7),Ceník!$A$20:$G$27,6,0),VLOOKUP(CONCATENATE($D$6,$D$7),Ceník!$A$20:$G$27,7,0))</f>
        <v>227429</v>
      </c>
      <c r="M46" s="34">
        <f>IF(M44="T1",VLOOKUP(CONCATENATE($D$6,$D$7),Ceník!$A$20:$G$27,6,0),VLOOKUP(CONCATENATE($D$6,$D$7),Ceník!$A$20:$G$27,7,0))</f>
        <v>227429</v>
      </c>
      <c r="N46" s="34">
        <f>IF(N44="T1",VLOOKUP(CONCATENATE($D$6,$D$7),Ceník!$A$20:$G$27,6,0),VLOOKUP(CONCATENATE($D$6,$D$7),Ceník!$A$20:$G$27,7,0))</f>
        <v>227429</v>
      </c>
      <c r="O46" s="34">
        <f>IF(O44="T1",VLOOKUP(CONCATENATE($D$6,$D$7),Ceník!$A$20:$G$27,6,0),VLOOKUP(CONCATENATE($D$6,$D$7),Ceník!$A$20:$G$27,7,0))</f>
        <v>227429</v>
      </c>
      <c r="P46" s="47"/>
    </row>
    <row r="47" spans="2:16" ht="15" customHeight="1" x14ac:dyDescent="0.2">
      <c r="B47" s="45"/>
      <c r="C47" s="49" t="s">
        <v>11</v>
      </c>
      <c r="D47" s="34">
        <f>VLOOKUP(CONCATENATE($D$6,$D$7),Ceník!$A$20:$H$27,8,0)</f>
        <v>106.66</v>
      </c>
      <c r="E47"/>
      <c r="F47"/>
      <c r="G47"/>
      <c r="H47"/>
      <c r="I47"/>
      <c r="J47"/>
      <c r="K47"/>
      <c r="L47"/>
      <c r="M47"/>
      <c r="N47"/>
      <c r="O47"/>
      <c r="P47" s="47"/>
    </row>
    <row r="48" spans="2:16" ht="15" customHeight="1" x14ac:dyDescent="0.2">
      <c r="B48" s="45"/>
      <c r="C48" s="49"/>
      <c r="D48"/>
      <c r="E48"/>
      <c r="F48"/>
      <c r="G48"/>
      <c r="H48"/>
      <c r="I48"/>
      <c r="J48"/>
      <c r="K48"/>
      <c r="L48"/>
      <c r="M48"/>
      <c r="N48"/>
      <c r="O48"/>
      <c r="P48" s="47"/>
    </row>
    <row r="49" spans="2:16" ht="15" customHeight="1" x14ac:dyDescent="0.25">
      <c r="B49" s="45"/>
      <c r="C49" s="49"/>
      <c r="D49" s="35" t="s">
        <v>73</v>
      </c>
      <c r="E49"/>
      <c r="F49"/>
      <c r="G49"/>
      <c r="H49"/>
      <c r="I49"/>
      <c r="J49"/>
      <c r="K49"/>
      <c r="L49"/>
      <c r="M49"/>
      <c r="N49"/>
      <c r="O49"/>
      <c r="P49" s="47"/>
    </row>
    <row r="50" spans="2:16" ht="15" customHeight="1" thickBot="1" x14ac:dyDescent="0.3">
      <c r="B50" s="45"/>
      <c r="C50" s="49"/>
      <c r="D50" s="51" t="s">
        <v>19</v>
      </c>
      <c r="E50" s="51" t="s">
        <v>20</v>
      </c>
      <c r="F50" s="51" t="s">
        <v>21</v>
      </c>
      <c r="G50" s="51" t="s">
        <v>22</v>
      </c>
      <c r="H50" s="51" t="s">
        <v>23</v>
      </c>
      <c r="I50" s="51" t="s">
        <v>24</v>
      </c>
      <c r="J50" s="51" t="s">
        <v>25</v>
      </c>
      <c r="K50" s="51" t="s">
        <v>26</v>
      </c>
      <c r="L50" s="51" t="s">
        <v>27</v>
      </c>
      <c r="M50" s="51" t="s">
        <v>28</v>
      </c>
      <c r="N50" s="51" t="s">
        <v>29</v>
      </c>
      <c r="O50" s="51" t="s">
        <v>30</v>
      </c>
      <c r="P50" s="47"/>
    </row>
    <row r="51" spans="2:16" ht="15" customHeight="1" thickTop="1" x14ac:dyDescent="0.2">
      <c r="B51" s="45"/>
      <c r="C51" s="49" t="s">
        <v>52</v>
      </c>
      <c r="D51" s="36">
        <f>D40*D45+IF(D41=0,0,D41*D46*IF($D$11="Ano",(1-MIN(1,($D$9*VLOOKUP($D$8,Ceník!$L$20:$M$26,2,0))/D41)),1))+$D$47*D15</f>
        <v>299575.88578000001</v>
      </c>
      <c r="E51" s="36">
        <f>E40*E45+IF(E41=0,0,E41*E46*IF($D$11="Ano",(1-MIN(1,($D$9*VLOOKUP($D$8,Ceník!$L$20:$M$26,2,0))/E41)),1))+$D$47*E15</f>
        <v>254417.45180000001</v>
      </c>
      <c r="F51" s="36">
        <f>F40*F45+IF(F41=0,0,F41*F46*IF($D$11="Ano",(1-MIN(1,($D$9*VLOOKUP($D$8,Ceník!$L$20:$M$26,2,0))/F41)),1))+$D$47*F15</f>
        <v>211042.03110000002</v>
      </c>
      <c r="G51" s="36">
        <f>G40*G45+IF(G41=0,0,G41*G46*IF($D$11="Ano",(1-MIN(1,($D$9*VLOOKUP($D$8,Ceník!$L$20:$M$26,2,0))/G41)),1))+$D$47*G15</f>
        <v>260514.50465999998</v>
      </c>
      <c r="H51" s="36">
        <f>H40*H45+IF(H41=0,0,H41*H46*IF($D$11="Ano",(1-MIN(1,($D$9*VLOOKUP($D$8,Ceník!$L$20:$M$26,2,0))/H41)),1))+$D$47*H15</f>
        <v>260294.90420000002</v>
      </c>
      <c r="I51" s="36">
        <f>I40*I45+IF(I41=0,0,I41*I46*IF($D$11="Ano",(1-MIN(1,($D$9*VLOOKUP($D$8,Ceník!$L$20:$M$26,2,0))/I41)),1))+$D$47*I15</f>
        <v>296990.6225</v>
      </c>
      <c r="J51" s="36">
        <f>J40*J45+IF(J41=0,0,J41*J46*IF($D$11="Ano",(1-MIN(1,($D$9*VLOOKUP($D$8,Ceník!$L$20:$M$26,2,0))/J41)),1))+$D$47*J15</f>
        <v>322256.94</v>
      </c>
      <c r="K51" s="36">
        <f>K40*K45+IF(K41=0,0,K41*K46*IF($D$11="Ano",(1-MIN(1,($D$9*VLOOKUP($D$8,Ceník!$L$20:$M$26,2,0))/K41)),1))+$D$47*K15</f>
        <v>318893.68959999998</v>
      </c>
      <c r="L51" s="36">
        <f>L40*L45+IF(L41=0,0,L41*L46*IF($D$11="Ano",(1-MIN(1,($D$9*VLOOKUP($D$8,Ceník!$L$20:$M$26,2,0))/L41)),1))+$D$47*L15</f>
        <v>299741.20046000002</v>
      </c>
      <c r="M51" s="36">
        <f>M40*M45+IF(M41=0,0,M41*M46*IF($D$11="Ano",(1-MIN(1,($D$9*VLOOKUP($D$8,Ceník!$L$20:$M$26,2,0))/M41)),1))+$D$47*M15</f>
        <v>255099.06896</v>
      </c>
      <c r="N51" s="36">
        <f>N40*N45+IF(N41=0,0,N41*N46*IF($D$11="Ano",(1-MIN(1,($D$9*VLOOKUP($D$8,Ceník!$L$20:$M$26,2,0))/N41)),1))+$D$47*N15</f>
        <v>259536.364</v>
      </c>
      <c r="O51" s="36">
        <f>O40*O45+IF(O41=0,0,O41*O46*IF($D$11="Ano",(1-MIN(1,($D$9*VLOOKUP($D$8,Ceník!$L$20:$M$26,2,0))/O41)),1))+$D$47*O15</f>
        <v>271454.28424000001</v>
      </c>
      <c r="P51" s="47"/>
    </row>
    <row r="52" spans="2:16" ht="15" customHeight="1" thickBot="1" x14ac:dyDescent="0.3">
      <c r="B52" s="45"/>
      <c r="C52" s="37" t="s">
        <v>31</v>
      </c>
      <c r="D52" s="38">
        <f>SUM(D51:O51)</f>
        <v>3309816.9473000001</v>
      </c>
      <c r="E52" s="74" t="str">
        <f>IF(OR(ISBLANK(D40),ISBLANK(E40),ISBLANK(F40),ISBLANK(G40),ISBLANK(H40),ISBLANK(I40),ISBLANK(J40),ISBLANK(K40),ISBLANK(L40),ISBLANK(M40),ISBLANK(N40),ISBLANK(O40)),"",IF(OR(D41&gt;D40,E41&gt;E40,F41&gt;F40,G41&gt;G40,H41&gt;H40,I41&gt;I40,J41&gt;J40,K41&gt;K40,L41&gt;L40,M41&gt;M40,N41&gt;N40,O41&gt;O40),"Není započtena cena za překročení rezervovaného příkonu",""))</f>
        <v/>
      </c>
      <c r="F52"/>
      <c r="G52"/>
      <c r="H52"/>
      <c r="I52"/>
      <c r="J52"/>
      <c r="K52"/>
      <c r="L52"/>
      <c r="M52"/>
      <c r="N52"/>
      <c r="O52"/>
      <c r="P52" s="47"/>
    </row>
    <row r="53" spans="2:16" ht="15" customHeight="1" thickTop="1" x14ac:dyDescent="0.25">
      <c r="B53" s="45"/>
      <c r="C53" s="63"/>
      <c r="D53" s="58"/>
      <c r="E53" s="58"/>
      <c r="F53"/>
      <c r="G53"/>
      <c r="H53"/>
      <c r="I53"/>
      <c r="J53"/>
      <c r="K53"/>
      <c r="L53"/>
      <c r="M53"/>
      <c r="N53"/>
      <c r="O53"/>
      <c r="P53" s="47"/>
    </row>
    <row r="54" spans="2:16" ht="15" customHeight="1" x14ac:dyDescent="0.25">
      <c r="B54" s="45"/>
      <c r="C54" s="64" t="s">
        <v>48</v>
      </c>
      <c r="D54" s="39">
        <f>D51-D33</f>
        <v>-21783.386479999986</v>
      </c>
      <c r="E54" s="39">
        <f t="shared" ref="E54:O54" si="3">E51-E33</f>
        <v>-54131.369800000015</v>
      </c>
      <c r="F54" s="39">
        <f t="shared" si="3"/>
        <v>-95531.629599999986</v>
      </c>
      <c r="G54" s="39">
        <f t="shared" si="3"/>
        <v>-48896.929560000019</v>
      </c>
      <c r="H54" s="39">
        <f t="shared" si="3"/>
        <v>-53654.142199999973</v>
      </c>
      <c r="I54" s="39">
        <f t="shared" si="3"/>
        <v>-18849.671000000031</v>
      </c>
      <c r="J54" s="39">
        <f t="shared" si="3"/>
        <v>279.78600000002189</v>
      </c>
      <c r="K54" s="39">
        <f t="shared" si="3"/>
        <v>-4943.3766000000178</v>
      </c>
      <c r="L54" s="39">
        <f t="shared" si="3"/>
        <v>-18611.83335999999</v>
      </c>
      <c r="M54" s="39">
        <f t="shared" si="3"/>
        <v>-53675.576360000006</v>
      </c>
      <c r="N54" s="39">
        <f t="shared" si="3"/>
        <v>-51845.344999999972</v>
      </c>
      <c r="O54" s="39">
        <f t="shared" si="3"/>
        <v>-42510.057839999965</v>
      </c>
      <c r="P54" s="47"/>
    </row>
    <row r="55" spans="2:16" ht="15" customHeight="1" x14ac:dyDescent="0.2">
      <c r="B55" s="45"/>
      <c r="P55" s="47"/>
    </row>
    <row r="56" spans="2:16" ht="15" customHeight="1" x14ac:dyDescent="0.2">
      <c r="B56" s="45"/>
      <c r="D56" s="75" t="str">
        <f>IF(AND(SUM(D41:O41)&gt;0,O40&gt;0),CONCATENATE("Zadaný podíl rezervovaného příkonu k 31.12. a maximálního naměřeného odebraného výkonu v roce je ",ROUND(O40/MAX(D41:O41),1)),"")</f>
        <v>Zadaný podíl rezervovaného příkonu k 31.12. a maximálního naměřeného odebraného výkonu v roce je 1,3</v>
      </c>
      <c r="E56" s="76"/>
      <c r="F56" s="76"/>
      <c r="G56" s="76"/>
      <c r="H56" s="76"/>
      <c r="I56" s="76"/>
      <c r="J56" s="76"/>
      <c r="K56" s="76"/>
      <c r="L56" s="76"/>
      <c r="M56" s="76"/>
      <c r="P56" s="47"/>
    </row>
    <row r="57" spans="2:16" ht="15" customHeight="1" x14ac:dyDescent="0.2">
      <c r="B57" s="45"/>
      <c r="D57" s="77" t="str">
        <f>IF(ISERROR(O40/MAX(D41:O41)),"",IF((O40/MAX(D41:O41))&gt;2.5,"Doporučujeme zvážit optimalizaci hodnoty rezervovaného příkonu pro snížení platby - více viz Manuál pro zákazníka na webu ERÚ",""))</f>
        <v/>
      </c>
      <c r="E57" s="78"/>
      <c r="F57" s="78"/>
      <c r="G57" s="78"/>
      <c r="H57" s="78"/>
      <c r="I57" s="78"/>
      <c r="J57" s="78"/>
      <c r="K57" s="78"/>
      <c r="L57" s="78"/>
      <c r="M57" s="78"/>
      <c r="P57" s="47"/>
    </row>
    <row r="58" spans="2:16" ht="15" customHeight="1" x14ac:dyDescent="0.2">
      <c r="B58" s="45"/>
      <c r="D58" s="75" t="str">
        <f>IF(OR(D57="",SUM($D$40:$O$40)&lt;&gt;12*MAX($D$40:$O$40),$D$11="Ano"),"",CONCATENATE("Při snížení podílu na 2-násobek (na rezervovaný příkon ",2*MAX($D$41:$O$41)," MW) bude roční platba nižší o hodnotu ",TEXT($D$52-2*MAX($D$41:$O$41)*12*VLOOKUP(CONCATENATE($D$6,$D$7),Ceník!$A$20:$H$27,5,0)-SUM($D$41:$O$41)*VLOOKUP(CONCATENATE($D$6,$D$7),Ceník!$A$20:$H$27,7,0)-$D$16*$D$47,"# ##")," Kč"))</f>
        <v/>
      </c>
      <c r="E58" s="76"/>
      <c r="F58" s="76"/>
      <c r="G58" s="76"/>
      <c r="H58" s="76"/>
      <c r="I58" s="76"/>
      <c r="J58" s="76"/>
      <c r="K58" s="76"/>
      <c r="L58" s="76"/>
      <c r="M58" s="76"/>
      <c r="P58" s="47"/>
    </row>
    <row r="59" spans="2:16" ht="15" customHeight="1" x14ac:dyDescent="0.2">
      <c r="B59" s="45"/>
      <c r="D59" s="75" t="str">
        <f>IF(OR(D57="",SUM($D$40:$O$40)&lt;&gt;12*MAX($D$40:$O$40),$D$11="Ano"),"",CONCATENATE("Při snížení podílu na 1,5-násobek (na rezervovaný příkon ",ROUND(1.5*MAX($D$41:$O$41),3)," MW) bude roční platba nižší o hodnotu ",TEXT($D$52-ROUND(1.5*MAX($D$41:$O$41),3)*12*VLOOKUP(CONCATENATE($D$6,$D$7),Ceník!$A$20:$H$27,5,0)-SUM($D$41:$O$41)*VLOOKUP(CONCATENATE($D$6,$D$7),Ceník!$A$20:$H$27,7,0)-$D$16*$D$47,"# ##")," Kč"))</f>
        <v/>
      </c>
      <c r="E59" s="76"/>
      <c r="F59" s="76"/>
      <c r="G59" s="76"/>
      <c r="H59" s="76"/>
      <c r="I59" s="76"/>
      <c r="J59" s="76"/>
      <c r="K59" s="76"/>
      <c r="L59" s="76"/>
      <c r="M59" s="76"/>
      <c r="P59" s="47"/>
    </row>
    <row r="60" spans="2:16" ht="15.75" thickBot="1" x14ac:dyDescent="0.3">
      <c r="B60" s="52"/>
      <c r="C60" s="59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55"/>
    </row>
    <row r="61" spans="2:16" ht="15" x14ac:dyDescent="0.25">
      <c r="B61" s="42"/>
      <c r="C61" s="61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  <c r="P61" s="44"/>
    </row>
    <row r="62" spans="2:16" ht="23.25" x14ac:dyDescent="0.35">
      <c r="B62" s="45"/>
      <c r="C62" s="65" t="s">
        <v>44</v>
      </c>
      <c r="D62" s="66"/>
      <c r="E62" s="66"/>
      <c r="F62" s="66"/>
      <c r="G62" s="66"/>
      <c r="H62"/>
      <c r="I62"/>
      <c r="J62"/>
      <c r="K62"/>
      <c r="L62"/>
      <c r="M62"/>
      <c r="N62"/>
      <c r="O62"/>
      <c r="P62" s="47"/>
    </row>
    <row r="63" spans="2:16" ht="6.75" customHeight="1" x14ac:dyDescent="0.35">
      <c r="B63" s="45"/>
      <c r="C63" s="46"/>
      <c r="D63" s="40"/>
      <c r="E63"/>
      <c r="F63"/>
      <c r="G63"/>
      <c r="H63"/>
      <c r="I63"/>
      <c r="J63"/>
      <c r="K63"/>
      <c r="L63"/>
      <c r="M63"/>
      <c r="N63"/>
      <c r="O63"/>
      <c r="P63" s="47"/>
    </row>
    <row r="64" spans="2:16" ht="24" customHeight="1" thickBot="1" x14ac:dyDescent="0.4">
      <c r="B64" s="45"/>
      <c r="C64" s="46"/>
      <c r="D64" s="41" t="s">
        <v>0</v>
      </c>
      <c r="E64"/>
      <c r="F64"/>
      <c r="G64"/>
      <c r="H64"/>
      <c r="I64"/>
      <c r="J64"/>
      <c r="K64"/>
      <c r="L64"/>
      <c r="M64"/>
      <c r="N64"/>
      <c r="O64"/>
      <c r="P64" s="47"/>
    </row>
    <row r="65" spans="2:16" ht="15" thickTop="1" x14ac:dyDescent="0.2">
      <c r="B65" s="45"/>
      <c r="C65" s="49" t="s">
        <v>50</v>
      </c>
      <c r="D65" s="34">
        <f>VLOOKUP(CONCATENATE($D$6,$D$7),Ceník!$A$20:$J$27,10,0)</f>
        <v>5555.18</v>
      </c>
      <c r="E65"/>
      <c r="F65"/>
      <c r="G65"/>
      <c r="H65"/>
      <c r="I65"/>
      <c r="J65"/>
      <c r="K65"/>
      <c r="L65"/>
      <c r="M65"/>
      <c r="N65"/>
      <c r="O65"/>
      <c r="P65" s="47"/>
    </row>
    <row r="66" spans="2:16" x14ac:dyDescent="0.2">
      <c r="B66" s="45"/>
      <c r="C66" s="49"/>
      <c r="D66"/>
      <c r="E66"/>
      <c r="F66"/>
      <c r="G66"/>
      <c r="H66"/>
      <c r="I66"/>
      <c r="J66"/>
      <c r="K66"/>
      <c r="L66"/>
      <c r="M66"/>
      <c r="N66"/>
      <c r="O66"/>
      <c r="P66" s="47"/>
    </row>
    <row r="67" spans="2:16" ht="16.5" x14ac:dyDescent="0.25">
      <c r="B67" s="45"/>
      <c r="C67" s="49"/>
      <c r="D67" s="35" t="s">
        <v>73</v>
      </c>
      <c r="E67"/>
      <c r="F67"/>
      <c r="G67"/>
      <c r="H67"/>
      <c r="I67"/>
      <c r="J67"/>
      <c r="K67"/>
      <c r="L67"/>
      <c r="M67"/>
      <c r="N67"/>
      <c r="O67"/>
      <c r="P67" s="47"/>
    </row>
    <row r="68" spans="2:16" ht="15.75" thickBot="1" x14ac:dyDescent="0.3">
      <c r="B68" s="45"/>
      <c r="C68" s="37" t="s">
        <v>31</v>
      </c>
      <c r="D68" s="38">
        <f>D65*D16</f>
        <v>23017360.587900002</v>
      </c>
      <c r="E68" s="14" t="str">
        <f>CONCATENATE(" - vychází výhodněji než klasické ceny pro roční spotřebu nižší než ",ROUND(D52/D65,0)," MWh")</f>
        <v xml:space="preserve"> - vychází výhodněji než klasické ceny pro roční spotřebu nižší než 596 MWh</v>
      </c>
      <c r="F68"/>
      <c r="G68"/>
      <c r="H68"/>
      <c r="I68"/>
      <c r="J68"/>
      <c r="K68"/>
      <c r="L68"/>
      <c r="M68"/>
      <c r="N68"/>
      <c r="O68"/>
      <c r="P68" s="47"/>
    </row>
    <row r="69" spans="2:16" ht="15.75" thickTop="1" thickBot="1" x14ac:dyDescent="0.25">
      <c r="B69" s="52"/>
      <c r="C69" s="67"/>
      <c r="D69" s="68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55"/>
    </row>
  </sheetData>
  <mergeCells count="4">
    <mergeCell ref="D56:M56"/>
    <mergeCell ref="D58:M58"/>
    <mergeCell ref="D59:M59"/>
    <mergeCell ref="D57:M57"/>
  </mergeCells>
  <conditionalFormatting sqref="D56:M59">
    <cfRule type="cellIs" dxfId="3" priority="1" operator="notEqual">
      <formula>""</formula>
    </cfRule>
  </conditionalFormatting>
  <conditionalFormatting sqref="D22:O23">
    <cfRule type="expression" dxfId="2" priority="7">
      <formula>$D$10&lt;&gt;"Ano"</formula>
    </cfRule>
  </conditionalFormatting>
  <dataValidations count="7">
    <dataValidation type="decimal" operator="greaterThanOrEqual" allowBlank="1" showInputMessage="1" showErrorMessage="1" sqref="D27:D29 D65 D41:O41 E45:O46 D51:O51 D45:D47 D16 D33:O33" xr:uid="{AF1BE56E-2D16-4F60-84CA-3017FA11DC5D}">
      <formula1>0</formula1>
    </dataValidation>
    <dataValidation operator="greaterThanOrEqual" allowBlank="1" showInputMessage="1" showErrorMessage="1" prompt="Zde vyplňte hodnotu měsíční rezervované kapacity pro příslušný měsíc v MW" sqref="D23:O23" xr:uid="{C0A2949F-1FE6-473C-834F-0BA9697A3F13}"/>
    <dataValidation allowBlank="1" showInputMessage="1" showErrorMessage="1" prompt="Zde vyplňte odebrané množství elektřiny pro příslušný měsíc v MWh" sqref="D15:O15" xr:uid="{BA49EE94-2AEA-44F9-A9A0-5A1531B1D884}"/>
    <dataValidation type="decimal" operator="greaterThanOrEqual" allowBlank="1" showInputMessage="1" showErrorMessage="1" prompt="Zde vyplňte hodnotu roční rezervované kapacity pro příslušný měsíc v MW" sqref="D22:O22" xr:uid="{49DFE2F7-CCB4-443A-B3C1-88C3A41C6A09}">
      <formula1>0</formula1>
    </dataValidation>
    <dataValidation type="decimal" operator="greaterThanOrEqual" allowBlank="1" showInputMessage="1" showErrorMessage="1" prompt="Zde vyplňte hodnotu rezervovaného příkonu dle smlouvy o připojení platné pro příslušný měsíc v MW" sqref="D40:O40" xr:uid="{2CAE1C16-82AD-4940-B3EE-57F4239BB2D8}">
      <formula1>0</formula1>
    </dataValidation>
    <dataValidation type="decimal" operator="greaterThanOrEqual" allowBlank="1" showInputMessage="1" showErrorMessage="1" prompt="Zde vyplňte hodnotu maximálního odebraného výkonu v příslušném měsíci v MW" sqref="D24:O24" xr:uid="{16C0C48A-3F94-45AB-AEA9-9B69EE4255C9}">
      <formula1>0</formula1>
    </dataValidation>
    <dataValidation allowBlank="1" showInputMessage="1" showErrorMessage="1" prompt="V případě odlišného vyhodnocení platby ceny za maximální odebraný výkon je nutné vyplnit instalovaný výkon výrobny" sqref="D9" xr:uid="{78C9B4E5-B251-4CBA-8E42-9B482A9E21E0}"/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4" id="{B457DD97-73DE-4074-B302-4B9B43D3222D}">
            <xm:f>Pomocné!#REF!+Pomocné!#REF!</xm:f>
            <x14:dxf>
              <fill>
                <patternFill>
                  <bgColor theme="8" tint="0.59996337778862885"/>
                </patternFill>
              </fill>
            </x14:dxf>
          </x14:cfRule>
          <xm:sqref>D24:O24 D41:O41</xm:sqref>
        </x14:conditionalFormatting>
        <x14:conditionalFormatting xmlns:xm="http://schemas.microsoft.com/office/excel/2006/main">
          <x14:cfRule type="expression" priority="13" id="{EF897E67-57EA-43E7-9EF2-B09824804F16}">
            <xm:f>Pomocné!#REF!</xm:f>
            <x14:dxf>
              <fill>
                <patternFill>
                  <bgColor theme="8" tint="0.59996337778862885"/>
                </patternFill>
              </fill>
            </x14:dxf>
          </x14:cfRule>
          <xm:sqref>D40:O40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prompt="Je nutné zvolit provozovatele distribuční soustavy ze seznamu" xr:uid="{6D81CBDB-B96F-4EA0-BA1C-B1AEAE05F4D3}">
          <x14:formula1>
            <xm:f>Pomocné!$B$3:$B$7</xm:f>
          </x14:formula1>
          <xm:sqref>D6</xm:sqref>
        </x14:dataValidation>
        <x14:dataValidation type="list" allowBlank="1" showInputMessage="1" showErrorMessage="1" prompt="Je nutné zvolit napěťovou hladinu ze seznamu" xr:uid="{D70F3FB7-92FB-4331-87D8-A74619B41C1B}">
          <x14:formula1>
            <xm:f>Pomocné!$D$3:$D$4</xm:f>
          </x14:formula1>
          <xm:sqref>D7</xm:sqref>
        </x14:dataValidation>
        <x14:dataValidation type="list" allowBlank="1" showInputMessage="1" showErrorMessage="1" prompt="Je nutné vybrat informaci, zda bude výrobce splňovat budoucí podmínku pro odlišné vyhodnocení platby ceny za maximální odebraný výkon" xr:uid="{CE0A810F-17B1-411C-963D-6897796976B5}">
          <x14:formula1>
            <xm:f>Pomocné!$F$3:$F$4</xm:f>
          </x14:formula1>
          <xm:sqref>D11</xm:sqref>
        </x14:dataValidation>
        <x14:dataValidation type="list" allowBlank="1" showInputMessage="1" showErrorMessage="1" prompt="V případě odlišného vyhodnocení platby ceny za maximální odebraný výkon se koeficient TVS stanoví dle vybraného typu výrobny" xr:uid="{9852C894-B1C2-4285-8AC3-94CBE7921742}">
          <x14:formula1>
            <xm:f>Ceník!$L$20:$L$26</xm:f>
          </x14:formula1>
          <xm:sqref>D8</xm:sqref>
        </x14:dataValidation>
        <x14:dataValidation type="list" allowBlank="1" showInputMessage="1" showErrorMessage="1" prompt="Je nutné vybrat informaci, zda výrobce splňuje současnou podmínku výrobce první kategorie" xr:uid="{8B73F56D-DEDD-4E64-BD5F-98ACE0523F0E}">
          <x14:formula1>
            <xm:f>Pomocné!$F$3:$F$4</xm:f>
          </x14:formula1>
          <xm:sqref>D10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B6C61-A1C1-4A8C-B392-DE6EC71FDE85}">
  <sheetPr codeName="List9"/>
  <dimension ref="A1:M29"/>
  <sheetViews>
    <sheetView zoomScale="80" zoomScaleNormal="80" workbookViewId="0"/>
  </sheetViews>
  <sheetFormatPr defaultRowHeight="14.25" x14ac:dyDescent="0.2"/>
  <cols>
    <col min="1" max="1" width="24.25" bestFit="1" customWidth="1"/>
    <col min="2" max="2" width="42.25" bestFit="1" customWidth="1"/>
    <col min="3" max="8" width="17.75" customWidth="1"/>
    <col min="9" max="9" width="8.625" customWidth="1"/>
    <col min="10" max="10" width="17.75" customWidth="1"/>
    <col min="11" max="11" width="8.625" customWidth="1"/>
    <col min="12" max="12" width="29.25" customWidth="1"/>
    <col min="13" max="13" width="12.25" customWidth="1"/>
    <col min="14" max="257" width="8"/>
    <col min="258" max="258" width="35.75" customWidth="1"/>
    <col min="259" max="261" width="8"/>
    <col min="262" max="262" width="9.375" customWidth="1"/>
    <col min="263" max="513" width="8"/>
    <col min="514" max="514" width="35.75" customWidth="1"/>
    <col min="515" max="517" width="8"/>
    <col min="518" max="518" width="9.375" customWidth="1"/>
    <col min="519" max="769" width="8"/>
    <col min="770" max="770" width="35.75" customWidth="1"/>
    <col min="771" max="773" width="8"/>
    <col min="774" max="774" width="9.375" customWidth="1"/>
    <col min="1026" max="1026" width="35.75" customWidth="1"/>
    <col min="1027" max="1029" width="8"/>
    <col min="1030" max="1030" width="9.375" customWidth="1"/>
    <col min="1031" max="1281" width="8"/>
    <col min="1282" max="1282" width="35.75" customWidth="1"/>
    <col min="1283" max="1285" width="8"/>
    <col min="1286" max="1286" width="9.375" customWidth="1"/>
    <col min="1287" max="1537" width="8"/>
    <col min="1538" max="1538" width="35.75" customWidth="1"/>
    <col min="1539" max="1541" width="8"/>
    <col min="1542" max="1542" width="9.375" customWidth="1"/>
    <col min="1543" max="1793" width="8"/>
    <col min="1794" max="1794" width="35.75" customWidth="1"/>
    <col min="1795" max="1797" width="8"/>
    <col min="1798" max="1798" width="9.375" customWidth="1"/>
    <col min="2050" max="2050" width="35.75" customWidth="1"/>
    <col min="2051" max="2053" width="8"/>
    <col min="2054" max="2054" width="9.375" customWidth="1"/>
    <col min="2055" max="2305" width="8"/>
    <col min="2306" max="2306" width="35.75" customWidth="1"/>
    <col min="2307" max="2309" width="8"/>
    <col min="2310" max="2310" width="9.375" customWidth="1"/>
    <col min="2311" max="2561" width="8"/>
    <col min="2562" max="2562" width="35.75" customWidth="1"/>
    <col min="2563" max="2565" width="8"/>
    <col min="2566" max="2566" width="9.375" customWidth="1"/>
    <col min="2567" max="2817" width="8"/>
    <col min="2818" max="2818" width="35.75" customWidth="1"/>
    <col min="2819" max="2821" width="8"/>
    <col min="2822" max="2822" width="9.375" customWidth="1"/>
    <col min="3074" max="3074" width="35.75" customWidth="1"/>
    <col min="3075" max="3077" width="8"/>
    <col min="3078" max="3078" width="9.375" customWidth="1"/>
    <col min="3079" max="3329" width="8"/>
    <col min="3330" max="3330" width="35.75" customWidth="1"/>
    <col min="3331" max="3333" width="8"/>
    <col min="3334" max="3334" width="9.375" customWidth="1"/>
    <col min="3335" max="3585" width="8"/>
    <col min="3586" max="3586" width="35.75" customWidth="1"/>
    <col min="3587" max="3589" width="8"/>
    <col min="3590" max="3590" width="9.375" customWidth="1"/>
    <col min="3591" max="3841" width="8"/>
    <col min="3842" max="3842" width="35.75" customWidth="1"/>
    <col min="3843" max="3845" width="8"/>
    <col min="3846" max="3846" width="9.375" customWidth="1"/>
    <col min="4098" max="4098" width="35.75" customWidth="1"/>
    <col min="4099" max="4101" width="8"/>
    <col min="4102" max="4102" width="9.375" customWidth="1"/>
    <col min="4103" max="4353" width="8"/>
    <col min="4354" max="4354" width="35.75" customWidth="1"/>
    <col min="4355" max="4357" width="8"/>
    <col min="4358" max="4358" width="9.375" customWidth="1"/>
    <col min="4359" max="4609" width="8"/>
    <col min="4610" max="4610" width="35.75" customWidth="1"/>
    <col min="4611" max="4613" width="8"/>
    <col min="4614" max="4614" width="9.375" customWidth="1"/>
    <col min="4615" max="4865" width="8"/>
    <col min="4866" max="4866" width="35.75" customWidth="1"/>
    <col min="4867" max="4869" width="8"/>
    <col min="4870" max="4870" width="9.375" customWidth="1"/>
    <col min="5122" max="5122" width="35.75" customWidth="1"/>
    <col min="5123" max="5125" width="8"/>
    <col min="5126" max="5126" width="9.375" customWidth="1"/>
    <col min="5127" max="5377" width="8"/>
    <col min="5378" max="5378" width="35.75" customWidth="1"/>
    <col min="5379" max="5381" width="8"/>
    <col min="5382" max="5382" width="9.375" customWidth="1"/>
    <col min="5383" max="5633" width="8"/>
    <col min="5634" max="5634" width="35.75" customWidth="1"/>
    <col min="5635" max="5637" width="8"/>
    <col min="5638" max="5638" width="9.375" customWidth="1"/>
    <col min="5639" max="5889" width="8"/>
    <col min="5890" max="5890" width="35.75" customWidth="1"/>
    <col min="5891" max="5893" width="8"/>
    <col min="5894" max="5894" width="9.375" customWidth="1"/>
    <col min="6146" max="6146" width="35.75" customWidth="1"/>
    <col min="6147" max="6149" width="8"/>
    <col min="6150" max="6150" width="9.375" customWidth="1"/>
    <col min="6151" max="6401" width="8"/>
    <col min="6402" max="6402" width="35.75" customWidth="1"/>
    <col min="6403" max="6405" width="8"/>
    <col min="6406" max="6406" width="9.375" customWidth="1"/>
    <col min="6407" max="6657" width="8"/>
    <col min="6658" max="6658" width="35.75" customWidth="1"/>
    <col min="6659" max="6661" width="8"/>
    <col min="6662" max="6662" width="9.375" customWidth="1"/>
    <col min="6663" max="6913" width="8"/>
    <col min="6914" max="6914" width="35.75" customWidth="1"/>
    <col min="6915" max="6917" width="8"/>
    <col min="6918" max="6918" width="9.375" customWidth="1"/>
    <col min="7170" max="7170" width="35.75" customWidth="1"/>
    <col min="7171" max="7173" width="8"/>
    <col min="7174" max="7174" width="9.375" customWidth="1"/>
    <col min="7175" max="7425" width="8"/>
    <col min="7426" max="7426" width="35.75" customWidth="1"/>
    <col min="7427" max="7429" width="8"/>
    <col min="7430" max="7430" width="9.375" customWidth="1"/>
    <col min="7431" max="7681" width="8"/>
    <col min="7682" max="7682" width="35.75" customWidth="1"/>
    <col min="7683" max="7685" width="8"/>
    <col min="7686" max="7686" width="9.375" customWidth="1"/>
    <col min="7687" max="7937" width="8"/>
    <col min="7938" max="7938" width="35.75" customWidth="1"/>
    <col min="7939" max="7941" width="8"/>
    <col min="7942" max="7942" width="9.375" customWidth="1"/>
    <col min="8194" max="8194" width="35.75" customWidth="1"/>
    <col min="8195" max="8197" width="8"/>
    <col min="8198" max="8198" width="9.375" customWidth="1"/>
    <col min="8199" max="8449" width="8"/>
    <col min="8450" max="8450" width="35.75" customWidth="1"/>
    <col min="8451" max="8453" width="8"/>
    <col min="8454" max="8454" width="9.375" customWidth="1"/>
    <col min="8455" max="8705" width="8"/>
    <col min="8706" max="8706" width="35.75" customWidth="1"/>
    <col min="8707" max="8709" width="8"/>
    <col min="8710" max="8710" width="9.375" customWidth="1"/>
    <col min="8711" max="8961" width="8"/>
    <col min="8962" max="8962" width="35.75" customWidth="1"/>
    <col min="8963" max="8965" width="8"/>
    <col min="8966" max="8966" width="9.375" customWidth="1"/>
    <col min="9218" max="9218" width="35.75" customWidth="1"/>
    <col min="9219" max="9221" width="8"/>
    <col min="9222" max="9222" width="9.375" customWidth="1"/>
    <col min="9223" max="9473" width="8"/>
    <col min="9474" max="9474" width="35.75" customWidth="1"/>
    <col min="9475" max="9477" width="8"/>
    <col min="9478" max="9478" width="9.375" customWidth="1"/>
    <col min="9479" max="9729" width="8"/>
    <col min="9730" max="9730" width="35.75" customWidth="1"/>
    <col min="9731" max="9733" width="8"/>
    <col min="9734" max="9734" width="9.375" customWidth="1"/>
    <col min="9735" max="9985" width="8"/>
    <col min="9986" max="9986" width="35.75" customWidth="1"/>
    <col min="9987" max="9989" width="8"/>
    <col min="9990" max="9990" width="9.375" customWidth="1"/>
    <col min="10242" max="10242" width="35.75" customWidth="1"/>
    <col min="10243" max="10245" width="8"/>
    <col min="10246" max="10246" width="9.375" customWidth="1"/>
    <col min="10247" max="10497" width="8"/>
    <col min="10498" max="10498" width="35.75" customWidth="1"/>
    <col min="10499" max="10501" width="8"/>
    <col min="10502" max="10502" width="9.375" customWidth="1"/>
    <col min="10503" max="10753" width="8"/>
    <col min="10754" max="10754" width="35.75" customWidth="1"/>
    <col min="10755" max="10757" width="8"/>
    <col min="10758" max="10758" width="9.375" customWidth="1"/>
    <col min="10759" max="11009" width="8"/>
    <col min="11010" max="11010" width="35.75" customWidth="1"/>
    <col min="11011" max="11013" width="8"/>
    <col min="11014" max="11014" width="9.375" customWidth="1"/>
    <col min="11266" max="11266" width="35.75" customWidth="1"/>
    <col min="11267" max="11269" width="8"/>
    <col min="11270" max="11270" width="9.375" customWidth="1"/>
    <col min="11271" max="11521" width="8"/>
    <col min="11522" max="11522" width="35.75" customWidth="1"/>
    <col min="11523" max="11525" width="8"/>
    <col min="11526" max="11526" width="9.375" customWidth="1"/>
    <col min="11527" max="11777" width="8"/>
    <col min="11778" max="11778" width="35.75" customWidth="1"/>
    <col min="11779" max="11781" width="8"/>
    <col min="11782" max="11782" width="9.375" customWidth="1"/>
    <col min="11783" max="12033" width="8"/>
    <col min="12034" max="12034" width="35.75" customWidth="1"/>
    <col min="12035" max="12037" width="8"/>
    <col min="12038" max="12038" width="9.375" customWidth="1"/>
    <col min="12290" max="12290" width="35.75" customWidth="1"/>
    <col min="12291" max="12293" width="8"/>
    <col min="12294" max="12294" width="9.375" customWidth="1"/>
    <col min="12295" max="12545" width="8"/>
    <col min="12546" max="12546" width="35.75" customWidth="1"/>
    <col min="12547" max="12549" width="8"/>
    <col min="12550" max="12550" width="9.375" customWidth="1"/>
    <col min="12551" max="12801" width="8"/>
    <col min="12802" max="12802" width="35.75" customWidth="1"/>
    <col min="12803" max="12805" width="8"/>
    <col min="12806" max="12806" width="9.375" customWidth="1"/>
    <col min="12807" max="13057" width="8"/>
    <col min="13058" max="13058" width="35.75" customWidth="1"/>
    <col min="13059" max="13061" width="8"/>
    <col min="13062" max="13062" width="9.375" customWidth="1"/>
    <col min="13314" max="13314" width="35.75" customWidth="1"/>
    <col min="13315" max="13317" width="8"/>
    <col min="13318" max="13318" width="9.375" customWidth="1"/>
    <col min="13319" max="13569" width="8"/>
    <col min="13570" max="13570" width="35.75" customWidth="1"/>
    <col min="13571" max="13573" width="8"/>
    <col min="13574" max="13574" width="9.375" customWidth="1"/>
    <col min="13575" max="13825" width="8"/>
    <col min="13826" max="13826" width="35.75" customWidth="1"/>
    <col min="13827" max="13829" width="8"/>
    <col min="13830" max="13830" width="9.375" customWidth="1"/>
    <col min="13831" max="14081" width="8"/>
    <col min="14082" max="14082" width="35.75" customWidth="1"/>
    <col min="14083" max="14085" width="8"/>
    <col min="14086" max="14086" width="9.375" customWidth="1"/>
    <col min="14338" max="14338" width="35.75" customWidth="1"/>
    <col min="14339" max="14341" width="8"/>
    <col min="14342" max="14342" width="9.375" customWidth="1"/>
    <col min="14343" max="14593" width="8"/>
    <col min="14594" max="14594" width="35.75" customWidth="1"/>
    <col min="14595" max="14597" width="8"/>
    <col min="14598" max="14598" width="9.375" customWidth="1"/>
    <col min="14599" max="14849" width="8"/>
    <col min="14850" max="14850" width="35.75" customWidth="1"/>
    <col min="14851" max="14853" width="8"/>
    <col min="14854" max="14854" width="9.375" customWidth="1"/>
    <col min="14855" max="15105" width="8"/>
    <col min="15106" max="15106" width="35.75" customWidth="1"/>
    <col min="15107" max="15109" width="8"/>
    <col min="15110" max="15110" width="9.375" customWidth="1"/>
    <col min="15362" max="15362" width="35.75" customWidth="1"/>
    <col min="15363" max="15365" width="8"/>
    <col min="15366" max="15366" width="9.375" customWidth="1"/>
    <col min="15367" max="15617" width="8"/>
    <col min="15618" max="15618" width="35.75" customWidth="1"/>
    <col min="15619" max="15621" width="8"/>
    <col min="15622" max="15622" width="9.375" customWidth="1"/>
    <col min="15623" max="15873" width="8"/>
    <col min="15874" max="15874" width="35.75" customWidth="1"/>
    <col min="15875" max="15877" width="8"/>
    <col min="15878" max="15878" width="9.375" customWidth="1"/>
    <col min="15879" max="16129" width="8"/>
    <col min="16130" max="16130" width="35.75" customWidth="1"/>
    <col min="16131" max="16133" width="8"/>
    <col min="16134" max="16134" width="9.375" customWidth="1"/>
  </cols>
  <sheetData>
    <row r="1" spans="1:10" ht="18.75" x14ac:dyDescent="0.3">
      <c r="B1" s="11" t="s">
        <v>46</v>
      </c>
      <c r="C1" s="11"/>
    </row>
    <row r="2" spans="1:10" ht="15" thickBot="1" x14ac:dyDescent="0.25"/>
    <row r="3" spans="1:10" ht="72" thickTop="1" x14ac:dyDescent="0.2">
      <c r="B3" s="18" t="s">
        <v>37</v>
      </c>
      <c r="C3" s="19" t="s">
        <v>6</v>
      </c>
      <c r="D3" s="20" t="s">
        <v>14</v>
      </c>
      <c r="E3" s="21" t="s">
        <v>15</v>
      </c>
      <c r="F3" s="16" t="s">
        <v>18</v>
      </c>
      <c r="J3" s="13" t="s">
        <v>49</v>
      </c>
    </row>
    <row r="4" spans="1:10" x14ac:dyDescent="0.2">
      <c r="A4" s="15" t="str">
        <f>CONCATENATE(B4,C4)</f>
        <v>ČEZ Distribuce, a. s.VVN</v>
      </c>
      <c r="B4" s="22" t="s">
        <v>4</v>
      </c>
      <c r="C4" s="12" t="s">
        <v>12</v>
      </c>
      <c r="D4" s="28">
        <v>117432</v>
      </c>
      <c r="E4" s="29">
        <v>131036</v>
      </c>
      <c r="F4" s="17">
        <v>69.760000000000005</v>
      </c>
      <c r="J4" s="32">
        <v>2418.4</v>
      </c>
    </row>
    <row r="5" spans="1:10" x14ac:dyDescent="0.2">
      <c r="A5" s="15" t="str">
        <f t="shared" ref="A5:A13" si="0">CONCATENATE(B5,C5)</f>
        <v>ČEZ Distribuce, a. s.VN</v>
      </c>
      <c r="B5" s="22" t="s">
        <v>4</v>
      </c>
      <c r="C5" s="12" t="s">
        <v>13</v>
      </c>
      <c r="D5" s="28">
        <v>252565</v>
      </c>
      <c r="E5" s="29">
        <v>281823</v>
      </c>
      <c r="F5" s="17">
        <v>106.22</v>
      </c>
      <c r="J5" s="32">
        <v>5157.5200000000004</v>
      </c>
    </row>
    <row r="6" spans="1:10" x14ac:dyDescent="0.2">
      <c r="A6" s="15" t="str">
        <f t="shared" si="0"/>
        <v>EG.D, s.r.o.VVN</v>
      </c>
      <c r="B6" s="22" t="s">
        <v>53</v>
      </c>
      <c r="C6" s="12" t="s">
        <v>12</v>
      </c>
      <c r="D6" s="28">
        <v>110826</v>
      </c>
      <c r="E6" s="29">
        <v>122223</v>
      </c>
      <c r="F6" s="17">
        <v>65.62</v>
      </c>
      <c r="J6" s="32">
        <v>2282.14</v>
      </c>
    </row>
    <row r="7" spans="1:10" x14ac:dyDescent="0.2">
      <c r="A7" s="15" t="str">
        <f t="shared" si="0"/>
        <v>EG.D, s.r.o.VN</v>
      </c>
      <c r="B7" s="22" t="s">
        <v>53</v>
      </c>
      <c r="C7" s="12" t="s">
        <v>13</v>
      </c>
      <c r="D7" s="28">
        <v>230551</v>
      </c>
      <c r="E7" s="29">
        <v>254260</v>
      </c>
      <c r="F7" s="17">
        <v>98.61</v>
      </c>
      <c r="J7" s="32">
        <v>4709.63</v>
      </c>
    </row>
    <row r="8" spans="1:10" x14ac:dyDescent="0.2">
      <c r="A8" s="15" t="str">
        <f t="shared" si="0"/>
        <v>PREdistribuce, a.s.VVN</v>
      </c>
      <c r="B8" s="22" t="s">
        <v>5</v>
      </c>
      <c r="C8" s="12" t="s">
        <v>12</v>
      </c>
      <c r="D8" s="28">
        <v>129580</v>
      </c>
      <c r="E8" s="29">
        <v>143087</v>
      </c>
      <c r="F8" s="17">
        <v>64.52</v>
      </c>
      <c r="J8" s="32">
        <v>2656.12</v>
      </c>
    </row>
    <row r="9" spans="1:10" x14ac:dyDescent="0.2">
      <c r="A9" s="15" t="str">
        <f t="shared" si="0"/>
        <v>PREdistribuce, a.s.VN</v>
      </c>
      <c r="B9" s="22" t="s">
        <v>5</v>
      </c>
      <c r="C9" s="12" t="s">
        <v>13</v>
      </c>
      <c r="D9" s="28">
        <v>271093</v>
      </c>
      <c r="E9" s="29">
        <v>299351</v>
      </c>
      <c r="F9" s="17">
        <v>85.59</v>
      </c>
      <c r="J9" s="32">
        <v>5507.45</v>
      </c>
    </row>
    <row r="10" spans="1:10" x14ac:dyDescent="0.2">
      <c r="A10" s="15" t="str">
        <f t="shared" si="0"/>
        <v>UCED Chomutov s.r.o.VN</v>
      </c>
      <c r="B10" s="22" t="s">
        <v>16</v>
      </c>
      <c r="C10" s="12" t="s">
        <v>13</v>
      </c>
      <c r="D10" s="28">
        <v>266227</v>
      </c>
      <c r="E10" s="29">
        <v>295680</v>
      </c>
      <c r="F10" s="17">
        <v>79.63</v>
      </c>
      <c r="J10" s="32">
        <v>5404.17</v>
      </c>
    </row>
    <row r="11" spans="1:10" ht="15" thickBot="1" x14ac:dyDescent="0.25">
      <c r="A11" s="15" t="str">
        <f t="shared" si="0"/>
        <v>SV servisní, s.r.o.VN</v>
      </c>
      <c r="B11" s="23" t="s">
        <v>17</v>
      </c>
      <c r="C11" s="24" t="s">
        <v>13</v>
      </c>
      <c r="D11" s="30">
        <v>217605</v>
      </c>
      <c r="E11" s="31">
        <v>235013</v>
      </c>
      <c r="F11" s="17">
        <v>124.39</v>
      </c>
      <c r="J11" s="32">
        <v>4476.4900000000007</v>
      </c>
    </row>
    <row r="12" spans="1:10" ht="15" thickTop="1" x14ac:dyDescent="0.2">
      <c r="A12" s="15" t="str">
        <f t="shared" si="0"/>
        <v/>
      </c>
    </row>
    <row r="13" spans="1:10" x14ac:dyDescent="0.2">
      <c r="A13" s="15" t="str">
        <f t="shared" si="0"/>
        <v/>
      </c>
    </row>
    <row r="17" spans="1:13" ht="18.75" x14ac:dyDescent="0.3">
      <c r="B17" s="11" t="s">
        <v>47</v>
      </c>
    </row>
    <row r="18" spans="1:13" ht="15" thickBot="1" x14ac:dyDescent="0.25"/>
    <row r="19" spans="1:13" ht="72" customHeight="1" thickTop="1" x14ac:dyDescent="0.2">
      <c r="B19" s="18" t="s">
        <v>37</v>
      </c>
      <c r="C19" s="19" t="s">
        <v>6</v>
      </c>
      <c r="D19" s="20" t="s">
        <v>38</v>
      </c>
      <c r="E19" s="20" t="s">
        <v>39</v>
      </c>
      <c r="F19" s="20" t="s">
        <v>40</v>
      </c>
      <c r="G19" s="25" t="s">
        <v>41</v>
      </c>
      <c r="H19" s="16" t="s">
        <v>18</v>
      </c>
      <c r="J19" s="13" t="s">
        <v>49</v>
      </c>
      <c r="L19" s="13" t="s">
        <v>57</v>
      </c>
      <c r="M19" s="13" t="s">
        <v>56</v>
      </c>
    </row>
    <row r="20" spans="1:13" x14ac:dyDescent="0.2">
      <c r="A20" s="15" t="str">
        <f t="shared" ref="A20:A29" si="1">CONCATENATE(B20,C20)</f>
        <v>ČEZ Distribuce, a. s.VVN</v>
      </c>
      <c r="B20" s="22" t="s">
        <v>4</v>
      </c>
      <c r="C20" s="12" t="s">
        <v>12</v>
      </c>
      <c r="D20" s="28">
        <v>96862</v>
      </c>
      <c r="E20" s="28">
        <v>11586</v>
      </c>
      <c r="F20" s="28">
        <v>9686</v>
      </c>
      <c r="G20" s="29">
        <v>115862</v>
      </c>
      <c r="H20" s="17">
        <v>70.260000000000005</v>
      </c>
      <c r="J20" s="32">
        <v>2845.96</v>
      </c>
      <c r="L20" s="32" t="s">
        <v>58</v>
      </c>
      <c r="M20" s="69">
        <v>5.5E-2</v>
      </c>
    </row>
    <row r="21" spans="1:13" x14ac:dyDescent="0.2">
      <c r="A21" s="15" t="str">
        <f t="shared" si="1"/>
        <v>ČEZ Distribuce, a. s.VN</v>
      </c>
      <c r="B21" s="22" t="s">
        <v>4</v>
      </c>
      <c r="C21" s="12" t="s">
        <v>13</v>
      </c>
      <c r="D21" s="28">
        <v>190133</v>
      </c>
      <c r="E21" s="28">
        <v>22743</v>
      </c>
      <c r="F21" s="28">
        <v>19013</v>
      </c>
      <c r="G21" s="29">
        <v>227429</v>
      </c>
      <c r="H21" s="17">
        <v>106.66</v>
      </c>
      <c r="J21" s="32">
        <v>5555.18</v>
      </c>
      <c r="L21" s="32" t="s">
        <v>59</v>
      </c>
      <c r="M21" s="69">
        <v>9.2999999999999999E-2</v>
      </c>
    </row>
    <row r="22" spans="1:13" x14ac:dyDescent="0.2">
      <c r="A22" s="15" t="str">
        <f t="shared" si="1"/>
        <v>EG.D, s.r.o.VVN</v>
      </c>
      <c r="B22" s="22" t="s">
        <v>53</v>
      </c>
      <c r="C22" s="12" t="s">
        <v>12</v>
      </c>
      <c r="D22" s="28">
        <v>87770</v>
      </c>
      <c r="E22" s="28">
        <v>10499</v>
      </c>
      <c r="F22" s="28">
        <v>8777</v>
      </c>
      <c r="G22" s="29">
        <v>104987</v>
      </c>
      <c r="H22" s="17">
        <v>64.8</v>
      </c>
      <c r="J22" s="32">
        <v>2579.98</v>
      </c>
      <c r="L22" s="32" t="s">
        <v>60</v>
      </c>
      <c r="M22" s="69">
        <v>1.4999999999999999E-2</v>
      </c>
    </row>
    <row r="23" spans="1:13" x14ac:dyDescent="0.2">
      <c r="A23" s="15" t="str">
        <f t="shared" si="1"/>
        <v>EG.D, s.r.o.VN</v>
      </c>
      <c r="B23" s="22" t="s">
        <v>53</v>
      </c>
      <c r="C23" s="12" t="s">
        <v>13</v>
      </c>
      <c r="D23" s="28">
        <v>181386</v>
      </c>
      <c r="E23" s="28">
        <v>21697</v>
      </c>
      <c r="F23" s="28">
        <v>18139</v>
      </c>
      <c r="G23" s="29">
        <v>216967</v>
      </c>
      <c r="H23" s="17">
        <v>97.96</v>
      </c>
      <c r="J23" s="32">
        <v>5295.85</v>
      </c>
      <c r="L23" s="32" t="s">
        <v>61</v>
      </c>
      <c r="M23" s="69">
        <v>5.8999999999999997E-2</v>
      </c>
    </row>
    <row r="24" spans="1:13" x14ac:dyDescent="0.2">
      <c r="A24" s="15" t="str">
        <f t="shared" si="1"/>
        <v>PREdistribuce, a.s.VVN</v>
      </c>
      <c r="B24" s="22" t="s">
        <v>5</v>
      </c>
      <c r="C24" s="12" t="s">
        <v>12</v>
      </c>
      <c r="D24" s="28">
        <v>109073</v>
      </c>
      <c r="E24" s="28">
        <v>13047</v>
      </c>
      <c r="F24" s="28">
        <v>10907</v>
      </c>
      <c r="G24" s="29">
        <v>130470</v>
      </c>
      <c r="H24" s="17">
        <v>63.54</v>
      </c>
      <c r="J24" s="32">
        <v>3189.21</v>
      </c>
      <c r="L24" s="32" t="s">
        <v>68</v>
      </c>
      <c r="M24" s="69">
        <v>8.0000000000000002E-3</v>
      </c>
    </row>
    <row r="25" spans="1:13" x14ac:dyDescent="0.2">
      <c r="A25" s="15" t="str">
        <f t="shared" si="1"/>
        <v>PREdistribuce, a.s.VN</v>
      </c>
      <c r="B25" s="22" t="s">
        <v>5</v>
      </c>
      <c r="C25" s="12" t="s">
        <v>13</v>
      </c>
      <c r="D25" s="28">
        <v>196298</v>
      </c>
      <c r="E25" s="28">
        <v>23480</v>
      </c>
      <c r="F25" s="28">
        <v>19630</v>
      </c>
      <c r="G25" s="29">
        <v>234804</v>
      </c>
      <c r="H25" s="17">
        <v>84.62</v>
      </c>
      <c r="J25" s="32">
        <v>5709.8</v>
      </c>
      <c r="L25" s="32" t="s">
        <v>69</v>
      </c>
      <c r="M25" s="69">
        <v>1.2E-2</v>
      </c>
    </row>
    <row r="26" spans="1:13" x14ac:dyDescent="0.2">
      <c r="A26" s="15" t="str">
        <f t="shared" si="1"/>
        <v>UCED Chomutov s.r.o.VN</v>
      </c>
      <c r="B26" s="22" t="s">
        <v>16</v>
      </c>
      <c r="C26" s="12" t="s">
        <v>13</v>
      </c>
      <c r="D26" s="28">
        <v>255864</v>
      </c>
      <c r="E26" s="28">
        <v>30605</v>
      </c>
      <c r="F26" s="28">
        <v>25586</v>
      </c>
      <c r="G26" s="29">
        <v>306054</v>
      </c>
      <c r="H26" s="17">
        <v>98.044721624187275</v>
      </c>
      <c r="J26" s="32">
        <v>7430.16</v>
      </c>
      <c r="L26" s="32" t="s">
        <v>70</v>
      </c>
      <c r="M26" s="69">
        <v>0</v>
      </c>
    </row>
    <row r="27" spans="1:13" ht="15" thickBot="1" x14ac:dyDescent="0.25">
      <c r="A27" s="15" t="str">
        <f t="shared" si="1"/>
        <v>SV servisní, s.r.o.VN</v>
      </c>
      <c r="B27" s="23" t="s">
        <v>17</v>
      </c>
      <c r="C27" s="24" t="s">
        <v>13</v>
      </c>
      <c r="D27" s="30">
        <v>178312</v>
      </c>
      <c r="E27" s="30">
        <v>21329</v>
      </c>
      <c r="F27" s="30">
        <v>17831</v>
      </c>
      <c r="G27" s="31">
        <v>213290</v>
      </c>
      <c r="H27" s="17">
        <v>123.73</v>
      </c>
      <c r="J27" s="32">
        <v>5233.5200000000004</v>
      </c>
    </row>
    <row r="28" spans="1:13" ht="15" thickTop="1" x14ac:dyDescent="0.2">
      <c r="A28" s="15" t="str">
        <f t="shared" si="1"/>
        <v/>
      </c>
    </row>
    <row r="29" spans="1:13" x14ac:dyDescent="0.2">
      <c r="A29" s="15" t="str">
        <f t="shared" si="1"/>
        <v/>
      </c>
    </row>
  </sheetData>
  <sheetProtection algorithmName="SHA-512" hashValue="QRvgoduwWQNdTZYYOgO+y3tjU4NABa8KEuqydVdt1Ba3n7LKea8OEoGMPK2b8E0zXJ14K/VN4lISYQEcQefcjg==" saltValue="sQIx1Da+n9gWXejNhX9FpA==" spinCount="100000" sheet="1" objects="1" scenarios="1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1898E-640C-4DA5-AC7E-C03A558DA5E9}">
  <sheetPr codeName="List2"/>
  <dimension ref="B2:F7"/>
  <sheetViews>
    <sheetView zoomScale="85" zoomScaleNormal="85" workbookViewId="0">
      <selection activeCell="B1" sqref="B1"/>
    </sheetView>
  </sheetViews>
  <sheetFormatPr defaultRowHeight="14.25" x14ac:dyDescent="0.2"/>
  <cols>
    <col min="1" max="1" width="3.5" customWidth="1"/>
    <col min="2" max="2" width="19.625" customWidth="1"/>
    <col min="3" max="3" width="3.5" customWidth="1"/>
    <col min="4" max="4" width="16.625" bestFit="1" customWidth="1"/>
    <col min="5" max="5" width="3.5" customWidth="1"/>
  </cols>
  <sheetData>
    <row r="2" spans="2:6" ht="15" x14ac:dyDescent="0.25">
      <c r="B2" s="26" t="s">
        <v>3</v>
      </c>
      <c r="D2" s="26" t="s">
        <v>6</v>
      </c>
      <c r="F2" s="27" t="s">
        <v>65</v>
      </c>
    </row>
    <row r="3" spans="2:6" x14ac:dyDescent="0.2">
      <c r="B3" t="s">
        <v>4</v>
      </c>
      <c r="D3" t="s">
        <v>12</v>
      </c>
      <c r="F3" t="s">
        <v>66</v>
      </c>
    </row>
    <row r="4" spans="2:6" x14ac:dyDescent="0.2">
      <c r="B4" t="s">
        <v>53</v>
      </c>
      <c r="D4" t="s">
        <v>13</v>
      </c>
      <c r="F4" t="s">
        <v>67</v>
      </c>
    </row>
    <row r="5" spans="2:6" x14ac:dyDescent="0.2">
      <c r="B5" t="s">
        <v>5</v>
      </c>
    </row>
    <row r="6" spans="2:6" x14ac:dyDescent="0.2">
      <c r="B6" t="s">
        <v>16</v>
      </c>
    </row>
    <row r="7" spans="2:6" x14ac:dyDescent="0.2">
      <c r="B7" t="s">
        <v>17</v>
      </c>
    </row>
  </sheetData>
  <pageMargins left="0.7" right="0.7" top="0.78740157499999996" bottom="0.78740157499999996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62653488A8FC242A64169106C6835EA" ma:contentTypeVersion="2" ma:contentTypeDescription="Vytvoří nový dokument" ma:contentTypeScope="" ma:versionID="5343ae94bd4b805bc477f1c8543df7b4">
  <xsd:schema xmlns:xsd="http://www.w3.org/2001/XMLSchema" xmlns:xs="http://www.w3.org/2001/XMLSchema" xmlns:p="http://schemas.microsoft.com/office/2006/metadata/properties" xmlns:ns2="f32210cd-666d-4d11-ab48-bfef9714ab3b" targetNamespace="http://schemas.microsoft.com/office/2006/metadata/properties" ma:root="true" ma:fieldsID="2546dc4a1fd471bfac57a8c4eb1d9b2b" ns2:_="">
    <xsd:import namespace="f32210cd-666d-4d11-ab48-bfef9714ab3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2210cd-666d-4d11-ab48-bfef9714ab3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9011C2-F3A7-40AE-8417-D9745A341C3C}">
  <ds:schemaRefs>
    <ds:schemaRef ds:uri="f32210cd-666d-4d11-ab48-bfef9714ab3b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23F067D-923A-4F2A-88ED-6B4088BE2D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2210cd-666d-4d11-ab48-bfef9714ab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41EE84-1E5B-4CF9-8A0E-CB63C76847D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Informace</vt:lpstr>
      <vt:lpstr>Výpočet</vt:lpstr>
      <vt:lpstr>Ceník</vt:lpstr>
      <vt:lpstr>Pomocné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2022-08-23T15:28:26Z</dcterms:created>
  <dcterms:modified xsi:type="dcterms:W3CDTF">2026-06-02T10:54:09Z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0x010100962653488A8FC242A64169106C6835EA</vt:lpwstr>
  </property>
</Properties>
</file>