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filterPrivacy="1" codeName="ThisWorkbook"/>
  <xr:revisionPtr revIDLastSave="0" documentId="13_ncr:20000001_{B132DA19-75D3-441F-820A-6C2A6BD52455}" xr6:coauthVersionLast="47" xr6:coauthVersionMax="47" xr10:uidLastSave="{00000000-0000-0000-0000-000000000000}"/>
  <bookViews>
    <workbookView xWindow="-120" yWindow="-120" windowWidth="29040" windowHeight="15720" xr2:uid="{A2A9271C-CC0E-4AC3-9C09-89BF9505722C}"/>
  </bookViews>
  <sheets>
    <sheet name="Informace" sheetId="10" r:id="rId1"/>
    <sheet name="Výpočet" sheetId="1" r:id="rId2"/>
    <sheet name="Ceník" sheetId="2" state="hidden" r:id="rId3"/>
    <sheet name="Pomocné" sheetId="11" state="hidden" r:id="rId4"/>
  </sheets>
  <calcPr calcId="191028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2" i="1" l="1"/>
  <c r="D39" i="1"/>
  <c r="D40" i="1"/>
  <c r="D41" i="1"/>
  <c r="D46" i="1"/>
  <c r="E39" i="1"/>
  <c r="E40" i="1"/>
  <c r="E41" i="1"/>
  <c r="E46" i="1"/>
  <c r="F39" i="1"/>
  <c r="F40" i="1"/>
  <c r="F41" i="1"/>
  <c r="F46" i="1"/>
  <c r="G39" i="1"/>
  <c r="G40" i="1"/>
  <c r="G41" i="1"/>
  <c r="G46" i="1"/>
  <c r="H39" i="1"/>
  <c r="H40" i="1"/>
  <c r="H41" i="1"/>
  <c r="H46" i="1"/>
  <c r="I39" i="1"/>
  <c r="I40" i="1"/>
  <c r="I41" i="1"/>
  <c r="I46" i="1"/>
  <c r="J39" i="1"/>
  <c r="J40" i="1"/>
  <c r="J41" i="1"/>
  <c r="J46" i="1"/>
  <c r="K39" i="1"/>
  <c r="K40" i="1"/>
  <c r="K41" i="1"/>
  <c r="K46" i="1"/>
  <c r="L39" i="1"/>
  <c r="L40" i="1"/>
  <c r="L41" i="1"/>
  <c r="L46" i="1"/>
  <c r="M39" i="1"/>
  <c r="M40" i="1"/>
  <c r="M41" i="1"/>
  <c r="M46" i="1"/>
  <c r="N39" i="1"/>
  <c r="N40" i="1"/>
  <c r="N41" i="1"/>
  <c r="N46" i="1"/>
  <c r="O39" i="1"/>
  <c r="O40" i="1"/>
  <c r="O41" i="1"/>
  <c r="O46" i="1"/>
  <c r="D47" i="1"/>
  <c r="D54" i="1" a="1"/>
  <c r="D54" i="1"/>
  <c r="D53" i="1" a="1"/>
  <c r="D53" i="1"/>
  <c r="D42" i="1"/>
  <c r="D51" i="1"/>
  <c r="K5" i="11"/>
  <c r="H5" i="11"/>
  <c r="G5" i="11"/>
  <c r="I5" i="11"/>
  <c r="J5" i="11"/>
  <c r="L5" i="11"/>
  <c r="M5" i="11"/>
  <c r="N5" i="11"/>
  <c r="O5" i="11"/>
  <c r="P5" i="11"/>
  <c r="Q5" i="11"/>
  <c r="R5" i="11"/>
  <c r="S5" i="11"/>
  <c r="M3" i="11"/>
  <c r="K3" i="11"/>
  <c r="G3" i="11"/>
  <c r="H3" i="11"/>
  <c r="I3" i="11"/>
  <c r="J3" i="11"/>
  <c r="L3" i="11"/>
  <c r="N3" i="11"/>
  <c r="O3" i="11"/>
  <c r="P3" i="11"/>
  <c r="Q3" i="11"/>
  <c r="R3" i="11"/>
  <c r="S3" i="11"/>
  <c r="E47" i="1"/>
  <c r="E29" i="1"/>
  <c r="D12" i="1"/>
  <c r="E7" i="1"/>
  <c r="A12" i="2"/>
  <c r="A13" i="2"/>
  <c r="A28" i="2"/>
  <c r="A29" i="2"/>
  <c r="R4" i="11"/>
  <c r="Q4" i="11"/>
  <c r="P4" i="11"/>
  <c r="O4" i="11"/>
  <c r="N4" i="11"/>
  <c r="M4" i="11"/>
  <c r="L4" i="11"/>
  <c r="K4" i="11"/>
  <c r="J4" i="11"/>
  <c r="I4" i="11"/>
  <c r="H4" i="11"/>
  <c r="G4" i="11"/>
  <c r="D37" i="1"/>
  <c r="F37" i="1"/>
  <c r="J37" i="1"/>
  <c r="N37" i="1"/>
  <c r="L37" i="1"/>
  <c r="M37" i="1"/>
  <c r="K37" i="1"/>
  <c r="E37" i="1"/>
  <c r="G37" i="1"/>
  <c r="I37" i="1"/>
  <c r="H37" i="1"/>
  <c r="O37" i="1"/>
  <c r="S4" i="11"/>
  <c r="F7" i="1"/>
  <c r="F6" i="1"/>
  <c r="A27" i="2"/>
  <c r="A26" i="2"/>
  <c r="A25" i="2"/>
  <c r="A24" i="2"/>
  <c r="A23" i="2"/>
  <c r="A22" i="2"/>
  <c r="A21" i="2"/>
  <c r="A20" i="2"/>
  <c r="D60" i="1"/>
  <c r="A11" i="2"/>
  <c r="A10" i="2"/>
  <c r="A9" i="2"/>
  <c r="A8" i="2"/>
  <c r="A7" i="2"/>
  <c r="A6" i="2"/>
  <c r="A5" i="2"/>
  <c r="A4" i="2"/>
  <c r="D22" i="1"/>
  <c r="D63" i="1"/>
  <c r="D23" i="1"/>
  <c r="D24" i="1"/>
  <c r="I28" i="1"/>
  <c r="H28" i="1"/>
  <c r="G28" i="1"/>
  <c r="F28" i="1"/>
  <c r="E28" i="1"/>
  <c r="D28" i="1"/>
  <c r="O28" i="1"/>
  <c r="O49" i="1"/>
  <c r="N28" i="1"/>
  <c r="N49" i="1"/>
  <c r="M28" i="1"/>
  <c r="L28" i="1"/>
  <c r="K28" i="1"/>
  <c r="K49" i="1"/>
  <c r="J28" i="1"/>
  <c r="G49" i="1"/>
  <c r="D29" i="1"/>
  <c r="E63" i="1"/>
  <c r="F49" i="1"/>
  <c r="D49" i="1"/>
  <c r="J49" i="1"/>
  <c r="M49" i="1"/>
  <c r="H49" i="1"/>
  <c r="E49" i="1"/>
  <c r="L49" i="1"/>
  <c r="I49" i="1"/>
  <c r="S6" i="11"/>
  <c r="F8" i="1"/>
  <c r="G8" i="11"/>
  <c r="F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<sst xmlns="http://schemas.openxmlformats.org/spreadsheetml/2006/main" count="184" uniqueCount="87">
  <si>
    <t>Orientační kalkulace ceny zajišťování distribuce elektřiny pro provozovatele lokální distribuční soustavy připojeného na hladině VVN nebo VN</t>
  </si>
  <si>
    <t>Upozornění:</t>
  </si>
  <si>
    <r>
      <t xml:space="preserve">Kalkulace slouží k ověření konkrétního dopadu změny struktury ceny zajišťování distribuce elektřiny na zákazníka na napěťové hladině VVN nebo VN v návaznosti na připravovanou změnu tarifikace od 1. ledna 2027. </t>
    </r>
    <r>
      <rPr>
        <b/>
        <i/>
        <sz val="10"/>
        <color theme="1"/>
        <rFont val="Arial"/>
        <family val="2"/>
        <charset val="238"/>
        <scheme val="minor"/>
      </rPr>
      <t xml:space="preserve">Kalkulací je tak například možné získat představu, jak by se současná hodnota rezervovaného příkonu v určitém předávacím místě a typické hodnoty maximálního odebraného výkonu v jednotlivých měsících roku pro určité předávací místo projevily ve snížení nebo zvýšení roční platby za zajišťování distribuce elektřiny, pokud by změna tarifikace platila již pro rok 2026. </t>
    </r>
  </si>
  <si>
    <r>
      <t xml:space="preserve">Použité ceny vycházejí z cenového výměru pro rok 2026 a ze simulace odpovídajících cen pro rok 2026 podle nového způsobu zpoplatnění. </t>
    </r>
    <r>
      <rPr>
        <b/>
        <i/>
        <sz val="10"/>
        <color theme="1"/>
        <rFont val="Arial"/>
        <family val="2"/>
        <charset val="238"/>
        <scheme val="minor"/>
      </rPr>
      <t>Jde proto pouze o orientační vyčíslení dopadů změny tarifikace a skutečné dopady po 1. lednu 2027 budou záviset na hodnotách jednotlivých cen stanovených cenovým výměrem na konci listopadu 2026.</t>
    </r>
  </si>
  <si>
    <t>Jedná se pouze o kalkulaci části platby za dodávku elektřiny (neobsahuje neregulovanou složku ceny, ani některé regulované ceny jako cenu za systémové služby, cenu za provoz nesíťové infrastruktury a složku ceny na podporu elektřiny z podporovaných zdrojů energie).</t>
  </si>
  <si>
    <t>Jde o základní orientační kalkulaci pro provozovatele lokální distribuční soustavy na napěťové hladině VVN a VN, která nezohledňuje případné specifické dopady mimořádných situací ošetřených cenovým výměrem (např. úpravy ve vazbě na strukturu zákazníků v lokální distribuční soustavě se zvýhodněním plateb nebo platbu za překročení rezervované kapacity o více než 10 %, kdy může u vyhodnocení platby u provozovatele lokální distribuční soustavy docházet k širokému spektru individuálních úprav vstupních parametrů výpočtu).</t>
  </si>
  <si>
    <t>Kalkulace se nachází na následujícím listu, kde se vyplňují buňky podbarvení tmavě modrou barvou. V případě, že jsou vyplněny kolidující údaje (např. je zadán vyšší maximální odebraný výkon než je hodnota rezervovaného příkonu), vypíše se v horní části kalkulace chybové hlášení a problematické buňky jsou zvýrazněny. V případě, že budou upravovány jiné buňky, než označené tmavě modrou barvou, nemusí kalkulátor poskytovat správný výsledek.</t>
  </si>
  <si>
    <t>Verze:</t>
  </si>
  <si>
    <t>Údaje o předávacím místě provozovatele lokální distribuční soustavy</t>
  </si>
  <si>
    <t>Distribuční území</t>
  </si>
  <si>
    <t>ČEZ Distribuce, a. s.</t>
  </si>
  <si>
    <t>Napěťová hladina</t>
  </si>
  <si>
    <t>VN</t>
  </si>
  <si>
    <t>Leden</t>
  </si>
  <si>
    <t>Únor</t>
  </si>
  <si>
    <t>Březen</t>
  </si>
  <si>
    <t>Duben</t>
  </si>
  <si>
    <t>Květen</t>
  </si>
  <si>
    <t>Červen</t>
  </si>
  <si>
    <t>Červenec</t>
  </si>
  <si>
    <t>Srpen</t>
  </si>
  <si>
    <t>Září</t>
  </si>
  <si>
    <t>Říjen</t>
  </si>
  <si>
    <t>Listopad</t>
  </si>
  <si>
    <t>Prosinec</t>
  </si>
  <si>
    <t>Odběr elektřiny [MWh]</t>
  </si>
  <si>
    <t>Odběr elektřiny (za celý rok) [MWh]</t>
  </si>
  <si>
    <t>1. Dosavadní struktura ceny zajišťování distribuce elektřiny (platba dle rezervace kapacity)</t>
  </si>
  <si>
    <t>Sjednaná hodnota roční rezervované kapacity [MW]</t>
  </si>
  <si>
    <t>Sjednaná hodnota měsíční rezervované kapacity [MW]</t>
  </si>
  <si>
    <t>Ceny</t>
  </si>
  <si>
    <t>Měsíční cena za roční rezervovanou kapacitu [Kč/MW/měsíc]</t>
  </si>
  <si>
    <t>Měsíční cena za měsíční rezervovanou kapacitu [Kč/MW/měsíc]</t>
  </si>
  <si>
    <t>Cena za použití sítí [Kč/MWh]</t>
  </si>
  <si>
    <t>Výsledná platba</t>
  </si>
  <si>
    <t>Předpokládaná měsíční platba bez DPH [Kč]</t>
  </si>
  <si>
    <t>Předpokládaná roční platba bez DPH [Kč]</t>
  </si>
  <si>
    <t>2. Nová struktura ceny zajišťování distribuce elektřiny (platba dle rezervovaného příkonu a maximálního odebraného výkonu)</t>
  </si>
  <si>
    <t>Rezervovaný příkon předávacího místa [MW]</t>
  </si>
  <si>
    <t>Maximální naměřený odebraný výkon předávacího místa [MW]</t>
  </si>
  <si>
    <t>Automaticky volený tarif z cenového rozhodnutí</t>
  </si>
  <si>
    <t>Měsíční cena za rezervovaný příkon [Kč/MW/měsíc]</t>
  </si>
  <si>
    <t>Měsíční cena za maximální odebraný výkon [Kč/MW/měsíc]</t>
  </si>
  <si>
    <t>Dopady nové struktury po jednotlivých měsících bez DPH [Kč]</t>
  </si>
  <si>
    <t>3. Alternativní varianta sjednání jednosložkové ceny za službu sítí (pro příležitostné špičkové odběry)</t>
  </si>
  <si>
    <t>Jednosložková cena za službu sítí u nové struktury cen [Kč/MWh]</t>
  </si>
  <si>
    <t>Struktura ceny - cena za rezervovanou kapacitu</t>
  </si>
  <si>
    <t>Provozovatel distribuční soustavy</t>
  </si>
  <si>
    <t>Měsíční cena za roční rezervovanou kapacitu v Kč/MW a měsíc</t>
  </si>
  <si>
    <t>Měsíční cena za měsíční rezervovanou kapacitu v Kč/MW a měsíc</t>
  </si>
  <si>
    <t>Cena za použití sítí VVN a VN v Kč/MWh</t>
  </si>
  <si>
    <t>Jednosložková cena za službu sítí v Kč/MWh</t>
  </si>
  <si>
    <t>VVN</t>
  </si>
  <si>
    <t>EG.D, s.r.o.</t>
  </si>
  <si>
    <t>PREdistribuce, a.s.</t>
  </si>
  <si>
    <t>UCED Chomutov s.r.o.</t>
  </si>
  <si>
    <t>SV servisní, s.r.o.</t>
  </si>
  <si>
    <t>Struktura ceny - cena za rezervovaný příkon a maximální odebraný výkon</t>
  </si>
  <si>
    <t>Měsíční cena za rezervovaný  příkon v tarifu T1 v Kč/MW/měsíc</t>
  </si>
  <si>
    <t>Měsíční cena za rezervovaný  příkon v tarifu T2 v Kč/MW/měsíc</t>
  </si>
  <si>
    <t>Měsíční cena za maximální odebraný výkon v tarifu T1 v Kč/MW/měsíc</t>
  </si>
  <si>
    <t>Měsíční cena za maximální odebraný výkon v tarifu T2 v Kč/MW/měsíc</t>
  </si>
  <si>
    <t>Kalkulace chybových hlášení</t>
  </si>
  <si>
    <t>leden</t>
  </si>
  <si>
    <t>únor</t>
  </si>
  <si>
    <t>březen</t>
  </si>
  <si>
    <t>duben</t>
  </si>
  <si>
    <t>květen</t>
  </si>
  <si>
    <t>červen</t>
  </si>
  <si>
    <t>červenec</t>
  </si>
  <si>
    <t>srpen</t>
  </si>
  <si>
    <t>září</t>
  </si>
  <si>
    <t>říjen</t>
  </si>
  <si>
    <t>listopad</t>
  </si>
  <si>
    <t>prosinec</t>
  </si>
  <si>
    <t>rok</t>
  </si>
  <si>
    <t>Překročení rezervované kapacity</t>
  </si>
  <si>
    <t>Chybně zadaná rezervovaná kapacita</t>
  </si>
  <si>
    <t>Překročení rezervovaného příkonu - nová struktura</t>
  </si>
  <si>
    <t>Jednosložková cena</t>
  </si>
  <si>
    <t>Hlášení</t>
  </si>
  <si>
    <t>Zadaný maximální odebraný výkon je v některém období větší než 110 % rezervované kapacity</t>
  </si>
  <si>
    <t>Zadaný maximální odebraný výkon je v některém období větší než rezervovaný příkon</t>
  </si>
  <si>
    <t>Zadaný maximální odebraný výkon je v některém období větší než rezervovaný příkon i 110 % rezervované kapacity</t>
  </si>
  <si>
    <t>Zadaný rezervovaný příkon je v některém měsíci nižší než rezervovaná kapacita</t>
  </si>
  <si>
    <t>Pro informaci: Dle zadání vychází nejlépe sjednání jednosložkové ceny za službu sítí s provozovatelem distribuční soustavy</t>
  </si>
  <si>
    <t>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</si>
</sst>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"/>
  </numFmts>
  <fonts count="28" x14ac:knownFonts="1">
    <font>
      <sz val="11"/>
      <color theme="1"/>
      <name val="Arial"/>
      <family val="2"/>
      <charset val="238"/>
      <scheme val="minor"/>
    </font>
    <font>
      <sz val="18"/>
      <color theme="3"/>
      <name val="Arial"/>
      <family val="2"/>
      <charset val="238"/>
      <scheme val="major"/>
    </font>
    <font>
      <b/>
      <sz val="11"/>
      <color theme="1"/>
      <name val="Arial"/>
      <family val="2"/>
      <charset val="238"/>
      <scheme val="minor"/>
    </font>
    <font>
      <sz val="10"/>
      <name val="Arial"/>
      <family val="2"/>
      <charset val="238"/>
    </font>
    <font>
      <sz val="11"/>
      <color theme="1"/>
      <name val="Arial"/>
      <family val="2"/>
      <charset val="238"/>
      <scheme val="minor"/>
    </font>
    <font>
      <b/>
      <sz val="13"/>
      <color theme="3"/>
      <name val="Arial"/>
      <family val="2"/>
      <charset val="238"/>
      <scheme val="minor"/>
    </font>
    <font>
      <i/>
      <sz val="11"/>
      <color theme="1"/>
      <name val="Arial"/>
      <family val="2"/>
      <charset val="238"/>
      <scheme val="minor"/>
    </font>
    <font>
      <sz val="11"/>
      <color theme="1"/>
      <name val="Calibri"/>
      <family val="2"/>
      <charset val="238"/>
    </font>
    <font>
      <b/>
      <sz val="18"/>
      <color theme="4" tint="0.39997558519241921"/>
      <name val="Arial"/>
      <family val="2"/>
      <charset val="238"/>
      <scheme val="minor"/>
    </font>
    <font>
      <i/>
      <sz val="10"/>
      <color theme="1"/>
      <name val="Arial"/>
      <family val="2"/>
      <charset val="238"/>
      <scheme val="minor"/>
    </font>
    <font>
      <b/>
      <i/>
      <u/>
      <sz val="10"/>
      <color theme="1"/>
      <name val="Arial"/>
      <family val="2"/>
      <charset val="238"/>
      <scheme val="minor"/>
    </font>
    <font>
      <b/>
      <sz val="18"/>
      <color theme="3"/>
      <name val="Arial"/>
      <family val="2"/>
      <charset val="238"/>
      <scheme val="major"/>
    </font>
    <font>
      <sz val="10"/>
      <color theme="1"/>
      <name val="Arial"/>
      <family val="2"/>
      <charset val="238"/>
      <scheme val="minor"/>
    </font>
    <font>
      <i/>
      <sz val="11"/>
      <color theme="8"/>
      <name val="Arial"/>
      <family val="2"/>
      <charset val="238"/>
      <scheme val="minor"/>
    </font>
    <font>
      <b/>
      <i/>
      <sz val="14"/>
      <name val="Arial CE"/>
      <family val="2"/>
      <charset val="238"/>
    </font>
    <font>
      <i/>
      <sz val="11"/>
      <color theme="0" tint="-0.34998626667073579"/>
      <name val="Arial"/>
      <family val="2"/>
      <charset val="238"/>
      <scheme val="minor"/>
    </font>
    <font>
      <b/>
      <i/>
      <sz val="11"/>
      <color rgb="FFFF0000"/>
      <name val="Arial"/>
      <family val="2"/>
      <charset val="238"/>
      <scheme val="minor"/>
    </font>
    <font>
      <sz val="11"/>
      <color rgb="FF00B050"/>
      <name val="Arial"/>
      <family val="2"/>
      <charset val="238"/>
      <scheme val="minor"/>
    </font>
    <font>
      <sz val="10"/>
      <name val="Arial CE"/>
      <family val="2"/>
      <charset val="238"/>
    </font>
    <font>
      <b/>
      <sz val="13"/>
      <color theme="0"/>
      <name val="Arial"/>
      <family val="2"/>
      <charset val="238"/>
      <scheme val="minor"/>
    </font>
    <font>
      <b/>
      <sz val="18"/>
      <color theme="4" tint="0.59999389629810485"/>
      <name val="Arial"/>
      <family val="2"/>
      <charset val="238"/>
      <scheme val="major"/>
    </font>
    <font>
      <b/>
      <sz val="11"/>
      <color theme="0"/>
      <name val="Arial"/>
      <family val="2"/>
      <charset val="238"/>
      <scheme val="minor"/>
    </font>
    <font>
      <b/>
      <i/>
      <u/>
      <sz val="11"/>
      <color rgb="FFFF0000"/>
      <name val="Arial"/>
      <family val="2"/>
      <charset val="238"/>
      <scheme val="minor"/>
    </font>
    <font>
      <u/>
      <sz val="11"/>
      <color theme="1"/>
      <name val="Arial"/>
      <family val="2"/>
      <charset val="238"/>
      <scheme val="minor"/>
    </font>
    <font>
      <b/>
      <i/>
      <sz val="10"/>
      <color theme="1"/>
      <name val="Arial"/>
      <family val="2"/>
      <charset val="238"/>
      <scheme val="minor"/>
    </font>
    <font>
      <b/>
      <i/>
      <sz val="11"/>
      <name val="Arial"/>
      <family val="2"/>
      <charset val="238"/>
      <scheme val="minor"/>
    </font>
    <font>
      <sz val="11"/>
      <name val="Arial"/>
      <family val="2"/>
      <charset val="238"/>
      <scheme val="minor"/>
    </font>
    <font>
      <b/>
      <i/>
      <sz val="11"/>
      <color theme="8"/>
      <name val="Arial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3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/>
      <top/>
      <bottom style="thick">
        <color theme="3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8">
    <xf numFmtId="0" fontId="0" fillId="0" borderId="0"/>
    <xf numFmtId="0" fontId="1" fillId="0" borderId="0" applyNumberFormat="0" applyFill="0" applyBorder="0" applyAlignment="0" applyProtection="0"/>
    <xf numFmtId="0" fontId="3" fillId="0" borderId="0"/>
    <xf numFmtId="0" fontId="5" fillId="0" borderId="1" applyNumberFormat="0" applyFill="0" applyAlignment="0" applyProtection="0"/>
    <xf numFmtId="0" fontId="4" fillId="2" borderId="0" applyNumberFormat="0" applyBorder="0" applyAlignment="0" applyProtection="0"/>
    <xf numFmtId="0" fontId="4" fillId="3" borderId="0" applyNumberFormat="0" applyBorder="0" applyAlignment="0" applyProtection="0"/>
    <xf numFmtId="0" fontId="7" fillId="0" borderId="0"/>
    <xf numFmtId="0" fontId="18" fillId="0" borderId="0"/>
  </cellStyleXfs>
  <cellXfs count="81">
    <xf numFmtId="0" fontId="0" fillId="0" borderId="0" xfId="0"/>
    <xf numFmtId="3" fontId="4" fillId="2" borderId="0" xfId="4" applyNumberFormat="1" applyBorder="1" applyProtection="1">
      <protection locked="0"/>
    </xf>
    <xf numFmtId="164" fontId="4" fillId="2" borderId="0" xfId="4" applyNumberFormat="1" applyBorder="1" applyProtection="1">
      <protection locked="0"/>
    </xf>
    <xf numFmtId="0" fontId="8" fillId="0" borderId="0" xfId="0" applyFont="1"/>
    <xf numFmtId="0" fontId="10" fillId="0" borderId="0" xfId="0" applyFont="1"/>
    <xf numFmtId="0" fontId="12" fillId="0" borderId="0" xfId="0" applyFont="1"/>
    <xf numFmtId="14" fontId="12" fillId="0" borderId="0" xfId="0" applyNumberFormat="1" applyFont="1" applyAlignment="1">
      <alignment horizontal="left"/>
    </xf>
    <xf numFmtId="0" fontId="0" fillId="0" borderId="0" xfId="0" applyProtection="1">
      <protection hidden="1"/>
    </xf>
    <xf numFmtId="0" fontId="9" fillId="0" borderId="0" xfId="0" applyFont="1" applyAlignment="1" applyProtection="1">
      <alignment vertical="justify" wrapText="1"/>
      <protection hidden="1"/>
    </xf>
    <xf numFmtId="0" fontId="9" fillId="0" borderId="0" xfId="0" applyFont="1" applyAlignment="1" applyProtection="1">
      <alignment wrapText="1"/>
      <protection hidden="1"/>
    </xf>
    <xf numFmtId="3" fontId="0" fillId="2" borderId="0" xfId="4" applyNumberFormat="1" applyFont="1" applyBorder="1" applyProtection="1">
      <protection locked="0"/>
    </xf>
    <xf numFmtId="0" fontId="14" fillId="0" borderId="0" xfId="0" applyFont="1"/>
    <xf numFmtId="0" fontId="0" fillId="0" borderId="2" xfId="0" applyBorder="1" applyAlignment="1">
      <alignment horizontal="center"/>
    </xf>
    <xf numFmtId="0" fontId="0" fillId="0" borderId="2" xfId="0" applyBorder="1" applyAlignment="1">
      <alignment horizontal="center" vertical="center" wrapText="1"/>
    </xf>
    <xf numFmtId="0" fontId="6" fillId="0" borderId="0" xfId="0" applyFont="1"/>
    <xf numFmtId="0" fontId="15" fillId="0" borderId="0" xfId="0" applyFont="1"/>
    <xf numFmtId="0" fontId="0" fillId="0" borderId="3" xfId="0" applyBorder="1" applyAlignment="1">
      <alignment horizontal="center" vertical="top" wrapText="1"/>
    </xf>
    <xf numFmtId="4" fontId="0" fillId="0" borderId="3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top"/>
    </xf>
    <xf numFmtId="0" fontId="0" fillId="0" borderId="5" xfId="0" applyBorder="1" applyAlignment="1">
      <alignment horizontal="center" vertical="top"/>
    </xf>
    <xf numFmtId="0" fontId="0" fillId="0" borderId="5" xfId="0" applyBorder="1" applyAlignment="1">
      <alignment horizontal="center" vertical="top" wrapText="1"/>
    </xf>
    <xf numFmtId="0" fontId="0" fillId="0" borderId="6" xfId="0" applyBorder="1" applyAlignment="1">
      <alignment horizontal="center" vertical="top" wrapText="1"/>
    </xf>
    <xf numFmtId="0" fontId="0" fillId="0" borderId="7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6" xfId="0" applyBorder="1" applyAlignment="1">
      <alignment horizontal="center" vertical="center" wrapText="1"/>
    </xf>
    <xf numFmtId="0" fontId="2" fillId="0" borderId="0" xfId="0" applyFont="1" applyAlignment="1" applyProtection="1">
      <alignment horizontal="left"/>
      <protection hidden="1"/>
    </xf>
    <xf numFmtId="0" fontId="2" fillId="0" borderId="0" xfId="0" applyFont="1"/>
    <xf numFmtId="3" fontId="0" fillId="0" borderId="2" xfId="0" applyNumberFormat="1" applyBorder="1" applyAlignment="1">
      <alignment horizontal="center" vertical="center"/>
    </xf>
    <xf numFmtId="3" fontId="0" fillId="0" borderId="8" xfId="0" applyNumberFormat="1" applyBorder="1" applyAlignment="1">
      <alignment horizontal="center" vertical="center"/>
    </xf>
    <xf numFmtId="3" fontId="0" fillId="0" borderId="10" xfId="0" applyNumberFormat="1" applyBorder="1" applyAlignment="1">
      <alignment horizontal="center" vertical="center"/>
    </xf>
    <xf numFmtId="3" fontId="0" fillId="0" borderId="11" xfId="0" applyNumberFormat="1" applyBorder="1" applyAlignment="1">
      <alignment horizontal="center" vertical="center"/>
    </xf>
    <xf numFmtId="4" fontId="0" fillId="0" borderId="2" xfId="0" applyNumberFormat="1" applyBorder="1" applyAlignment="1">
      <alignment horizontal="center" vertical="center"/>
    </xf>
    <xf numFmtId="164" fontId="4" fillId="3" borderId="0" xfId="5" applyNumberFormat="1" applyBorder="1" applyProtection="1"/>
    <xf numFmtId="4" fontId="4" fillId="3" borderId="0" xfId="5" applyNumberFormat="1" applyBorder="1" applyProtection="1"/>
    <xf numFmtId="3" fontId="19" fillId="4" borderId="0" xfId="3" applyNumberFormat="1" applyFont="1" applyFill="1" applyBorder="1" applyProtection="1"/>
    <xf numFmtId="3" fontId="4" fillId="3" borderId="0" xfId="5" applyNumberFormat="1" applyBorder="1" applyProtection="1"/>
    <xf numFmtId="0" fontId="2" fillId="0" borderId="12" xfId="0" applyFont="1" applyBorder="1" applyAlignment="1">
      <alignment horizontal="right"/>
    </xf>
    <xf numFmtId="3" fontId="2" fillId="3" borderId="12" xfId="5" applyNumberFormat="1" applyFont="1" applyBorder="1" applyProtection="1"/>
    <xf numFmtId="3" fontId="21" fillId="4" borderId="0" xfId="5" applyNumberFormat="1" applyFont="1" applyFill="1" applyBorder="1" applyProtection="1"/>
    <xf numFmtId="0" fontId="5" fillId="0" borderId="0" xfId="3" applyBorder="1" applyProtection="1"/>
    <xf numFmtId="3" fontId="5" fillId="0" borderId="1" xfId="3" applyNumberFormat="1" applyFill="1" applyProtection="1"/>
    <xf numFmtId="0" fontId="0" fillId="0" borderId="13" xfId="0" applyBorder="1" applyProtection="1">
      <protection hidden="1"/>
    </xf>
    <xf numFmtId="0" fontId="0" fillId="0" borderId="14" xfId="0" applyBorder="1" applyProtection="1">
      <protection hidden="1"/>
    </xf>
    <xf numFmtId="0" fontId="0" fillId="0" borderId="15" xfId="0" applyBorder="1" applyProtection="1">
      <protection hidden="1"/>
    </xf>
    <xf numFmtId="0" fontId="0" fillId="0" borderId="16" xfId="0" applyBorder="1" applyProtection="1">
      <protection hidden="1"/>
    </xf>
    <xf numFmtId="0" fontId="11" fillId="0" borderId="0" xfId="1" applyFont="1" applyBorder="1" applyProtection="1"/>
    <xf numFmtId="0" fontId="0" fillId="0" borderId="17" xfId="0" applyBorder="1" applyProtection="1">
      <protection hidden="1"/>
    </xf>
    <xf numFmtId="0" fontId="5" fillId="0" borderId="1" xfId="3" applyProtection="1"/>
    <xf numFmtId="0" fontId="0" fillId="0" borderId="0" xfId="0" applyAlignment="1">
      <alignment horizontal="right"/>
    </xf>
    <xf numFmtId="0" fontId="16" fillId="0" borderId="0" xfId="0" applyFont="1"/>
    <xf numFmtId="3" fontId="5" fillId="0" borderId="1" xfId="3" applyNumberFormat="1" applyFill="1" applyAlignment="1" applyProtection="1"/>
    <xf numFmtId="0" fontId="0" fillId="0" borderId="18" xfId="0" applyBorder="1" applyProtection="1">
      <protection hidden="1"/>
    </xf>
    <xf numFmtId="0" fontId="0" fillId="0" borderId="19" xfId="0" applyBorder="1" applyAlignment="1">
      <alignment horizontal="right"/>
    </xf>
    <xf numFmtId="164" fontId="0" fillId="0" borderId="19" xfId="0" applyNumberFormat="1" applyBorder="1"/>
    <xf numFmtId="0" fontId="0" fillId="0" borderId="20" xfId="0" applyBorder="1" applyProtection="1">
      <protection hidden="1"/>
    </xf>
    <xf numFmtId="0" fontId="0" fillId="0" borderId="14" xfId="0" applyBorder="1" applyAlignment="1">
      <alignment horizontal="right"/>
    </xf>
    <xf numFmtId="0" fontId="0" fillId="0" borderId="14" xfId="0" applyBorder="1"/>
    <xf numFmtId="0" fontId="13" fillId="0" borderId="0" xfId="0" applyFont="1"/>
    <xf numFmtId="0" fontId="2" fillId="0" borderId="19" xfId="0" applyFont="1" applyBorder="1" applyAlignment="1">
      <alignment horizontal="right"/>
    </xf>
    <xf numFmtId="0" fontId="0" fillId="0" borderId="19" xfId="0" applyBorder="1"/>
    <xf numFmtId="0" fontId="2" fillId="0" borderId="14" xfId="0" applyFont="1" applyBorder="1" applyAlignment="1">
      <alignment horizontal="right"/>
    </xf>
    <xf numFmtId="0" fontId="16" fillId="0" borderId="0" xfId="0" applyFont="1" applyAlignment="1">
      <alignment vertical="top"/>
    </xf>
    <xf numFmtId="0" fontId="2" fillId="0" borderId="0" xfId="0" applyFont="1" applyAlignment="1">
      <alignment horizontal="right"/>
    </xf>
    <xf numFmtId="0" fontId="21" fillId="4" borderId="0" xfId="0" applyFont="1" applyFill="1" applyAlignment="1">
      <alignment horizontal="right"/>
    </xf>
    <xf numFmtId="0" fontId="20" fillId="0" borderId="0" xfId="1" applyFont="1" applyBorder="1" applyProtection="1"/>
    <xf numFmtId="0" fontId="17" fillId="0" borderId="0" xfId="0" applyFont="1"/>
    <xf numFmtId="0" fontId="0" fillId="0" borderId="19" xfId="0" applyBorder="1" applyProtection="1">
      <protection hidden="1"/>
    </xf>
    <xf numFmtId="0" fontId="0" fillId="0" borderId="19" xfId="0" applyBorder="1" applyAlignment="1" applyProtection="1">
      <alignment horizontal="right"/>
      <protection hidden="1"/>
    </xf>
    <xf numFmtId="4" fontId="0" fillId="0" borderId="14" xfId="0" applyNumberFormat="1" applyBorder="1" applyProtection="1">
      <protection hidden="1"/>
    </xf>
    <xf numFmtId="3" fontId="0" fillId="0" borderId="0" xfId="0" applyNumberFormat="1" applyProtection="1">
      <protection hidden="1"/>
    </xf>
    <xf numFmtId="0" fontId="25" fillId="0" borderId="0" xfId="0" applyFont="1"/>
    <xf numFmtId="0" fontId="26" fillId="0" borderId="0" xfId="0" applyFont="1"/>
    <xf numFmtId="0" fontId="27" fillId="0" borderId="0" xfId="0" applyFont="1"/>
    <xf numFmtId="0" fontId="25" fillId="0" borderId="0" xfId="0" applyFont="1"/>
    <xf numFmtId="0" fontId="26" fillId="0" borderId="0" xfId="0" applyFont="1"/>
    <xf numFmtId="0" fontId="16" fillId="0" borderId="0" xfId="0" applyFont="1"/>
    <xf numFmtId="0" fontId="0" fillId="0" borderId="0" xfId="0"/>
    <xf numFmtId="0" fontId="25" fillId="0" borderId="0" xfId="0" applyFont="1" applyAlignment="1">
      <alignment horizontal="left"/>
    </xf>
    <xf numFmtId="0" fontId="22" fillId="0" borderId="0" xfId="0" applyFont="1"/>
    <xf numFmtId="0" fontId="23" fillId="0" borderId="0" xfId="0" applyFont="1"/>
  </cellXfs>
  <cellStyles count="8">
    <cellStyle name="20 % – Zvýraznění 1" xfId="4" builtinId="30"/>
    <cellStyle name="20 % – Zvýraznění 4" xfId="5" builtinId="42"/>
    <cellStyle name="Nadpis 2" xfId="3" builtinId="17"/>
    <cellStyle name="Název" xfId="1" builtinId="15"/>
    <cellStyle name="Normální" xfId="0" builtinId="0"/>
    <cellStyle name="Normální 2" xfId="2" xr:uid="{A3DC3EEF-AC9D-41A0-BCFF-F97FDEC89724}"/>
    <cellStyle name="Normální 2 3 2" xfId="7" xr:uid="{0CC69A49-F4DE-494F-9257-A0E2AD7E9926}"/>
    <cellStyle name="Normální 3" xfId="6" xr:uid="{44D211E5-300A-417B-8032-94B3BB3F4DEF}"/>
  </cellStyles>
  <dxfs count="2">
    <dxf>
      <fill>
        <patternFill>
          <bgColor theme="8" tint="0.59996337778862885"/>
        </patternFill>
      </fill>
    </dxf>
    <dxf>
      <fill>
        <patternFill>
          <bgColor theme="9" tint="0.79998168889431442"/>
        </patternFill>
      </fill>
    </dxf>
  </dxfs>
  <tableStyles count="0" defaultTableStyle="TableStyleMedium2" defaultPivotStyle="PivotStyleLight16"/>
  <colors>
    <mruColors>
      <color rgb="FF838A26"/>
      <color rgb="FF377179"/>
      <color rgb="FF0563C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3724275</xdr:colOff>
      <xdr:row>2</xdr:row>
      <xdr:rowOff>19050</xdr:rowOff>
    </xdr:from>
    <xdr:to>
      <xdr:col>4</xdr:col>
      <xdr:colOff>114300</xdr:colOff>
      <xdr:row>5</xdr:row>
      <xdr:rowOff>66675</xdr:rowOff>
    </xdr:to>
    <xdr:pic>
      <xdr:nvPicPr>
        <xdr:cNvPr id="3" name="Obrázek 1">
          <a:extLst>
            <a:ext uri="{FF2B5EF4-FFF2-40B4-BE49-F238E27FC236}">
              <a16:creationId xmlns:a16="http://schemas.microsoft.com/office/drawing/2014/main" id="{D36B1F9F-0197-46B0-B217-DAC6E480C7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68025" y="523875"/>
          <a:ext cx="2105025" cy="638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ERU">
  <a:themeElements>
    <a:clrScheme name="ERU">
      <a:dk1>
        <a:srgbClr val="262626"/>
      </a:dk1>
      <a:lt1>
        <a:sysClr val="window" lastClr="FFFFFF"/>
      </a:lt1>
      <a:dk2>
        <a:srgbClr val="23315F"/>
      </a:dk2>
      <a:lt2>
        <a:srgbClr val="D0D0D0"/>
      </a:lt2>
      <a:accent1>
        <a:srgbClr val="23315F"/>
      </a:accent1>
      <a:accent2>
        <a:srgbClr val="5A6588"/>
      </a:accent2>
      <a:accent3>
        <a:srgbClr val="9198B0"/>
      </a:accent3>
      <a:accent4>
        <a:srgbClr val="C8CBD7"/>
      </a:accent4>
      <a:accent5>
        <a:srgbClr val="E02C1F"/>
      </a:accent5>
      <a:accent6>
        <a:srgbClr val="E86158"/>
      </a:accent6>
      <a:hlink>
        <a:srgbClr val="0563C1"/>
      </a:hlink>
      <a:folHlink>
        <a:srgbClr val="E02C1F"/>
      </a:folHlink>
    </a:clrScheme>
    <a:fontScheme name="Výchozí">
      <a:majorFont>
        <a:latin typeface="Arial"/>
        <a:ea typeface=""/>
        <a:cs typeface=""/>
      </a:majorFont>
      <a:minorFont>
        <a:latin typeface="Arial"/>
        <a:ea typeface=""/>
        <a:cs typeface=""/>
      </a:minorFont>
    </a:fontScheme>
    <a:fmtScheme name="Motiv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Motiv_ERU" id="{9FFB561D-4E9C-47DD-93C1-073C5FD388E9}" vid="{664F4A23-A473-446F-B730-8F377D84977F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868FBE-0273-4177-9141-87C8E4A6E3F4}">
  <sheetPr codeName="List1"/>
  <dimension ref="A1:A18"/>
  <sheetViews>
    <sheetView showGridLines="0" tabSelected="1" zoomScaleNormal="100" workbookViewId="0">
      <selection activeCell="A4" sqref="A4"/>
    </sheetView>
  </sheetViews>
  <sheetFormatPr defaultRowHeight="14.25" x14ac:dyDescent="0.2"/>
  <cols>
    <col min="1" max="1" width="93.75" customWidth="1"/>
    <col min="2" max="2" width="49.5" customWidth="1"/>
    <col min="3" max="3" width="16.5" bestFit="1" customWidth="1"/>
  </cols>
  <sheetData>
    <row r="1" spans="1:1" ht="26.1" customHeight="1" x14ac:dyDescent="0.35">
      <c r="A1" s="3" t="s">
        <v>0</v>
      </c>
    </row>
    <row r="4" spans="1:1" ht="18.600000000000001" customHeight="1" x14ac:dyDescent="0.2">
      <c r="A4" s="4" t="s">
        <v>1</v>
      </c>
    </row>
    <row r="5" spans="1:1" x14ac:dyDescent="0.2">
      <c r="A5" s="7"/>
    </row>
    <row r="6" spans="1:1" ht="76.5" x14ac:dyDescent="0.2">
      <c r="A6" s="9" t="s">
        <v>2</v>
      </c>
    </row>
    <row r="7" spans="1:1" x14ac:dyDescent="0.2">
      <c r="A7" s="7"/>
    </row>
    <row r="8" spans="1:1" ht="38.25" x14ac:dyDescent="0.2">
      <c r="A8" s="9" t="s">
        <v>3</v>
      </c>
    </row>
    <row r="9" spans="1:1" x14ac:dyDescent="0.2">
      <c r="A9" s="7"/>
    </row>
    <row r="10" spans="1:1" ht="38.25" x14ac:dyDescent="0.2">
      <c r="A10" s="9" t="s">
        <v>4</v>
      </c>
    </row>
    <row r="11" spans="1:1" x14ac:dyDescent="0.2">
      <c r="A11" s="7"/>
    </row>
    <row r="12" spans="1:1" ht="63.75" x14ac:dyDescent="0.2">
      <c r="A12" s="8" t="s">
        <v>5</v>
      </c>
    </row>
    <row r="14" spans="1:1" ht="51" x14ac:dyDescent="0.2">
      <c r="A14" s="8" t="s">
        <v>6</v>
      </c>
    </row>
    <row r="17" spans="1:1" x14ac:dyDescent="0.2">
      <c r="A17" s="5" t="s">
        <v>7</v>
      </c>
    </row>
    <row r="18" spans="1:1" x14ac:dyDescent="0.2">
      <c r="A18" s="6">
        <v>46164</v>
      </c>
    </row>
  </sheetData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8055D2-2C5C-47C3-B75D-0F9946530C29}">
  <sheetPr codeName="List4">
    <tabColor theme="3"/>
  </sheetPr>
  <dimension ref="B1:Q64"/>
  <sheetViews>
    <sheetView showGridLines="0" zoomScale="60" zoomScaleNormal="60" workbookViewId="0">
      <selection activeCell="D52" sqref="D52:M52"/>
    </sheetView>
  </sheetViews>
  <sheetFormatPr defaultColWidth="9" defaultRowHeight="14.25" x14ac:dyDescent="0.2"/>
  <cols>
    <col min="1" max="2" width="3.5" style="7" customWidth="1"/>
    <col min="3" max="3" width="59.5" style="7" customWidth="1"/>
    <col min="4" max="4" width="28.25" style="7" bestFit="1" customWidth="1"/>
    <col min="5" max="15" width="16.5" style="7" customWidth="1"/>
    <col min="16" max="16" width="3.125" style="7" customWidth="1"/>
    <col min="17" max="16384" width="9" style="7"/>
  </cols>
  <sheetData>
    <row r="1" spans="2:17" ht="15" thickBot="1" x14ac:dyDescent="0.25"/>
    <row r="2" spans="2:17" x14ac:dyDescent="0.2">
      <c r="B2" s="42"/>
      <c r="C2" s="43"/>
      <c r="D2" s="43"/>
      <c r="E2" s="43"/>
      <c r="F2" s="69"/>
      <c r="G2" s="43"/>
      <c r="H2" s="43"/>
      <c r="I2" s="43"/>
      <c r="J2" s="43"/>
      <c r="K2" s="43"/>
      <c r="L2" s="43"/>
      <c r="M2" s="43"/>
      <c r="N2" s="43"/>
      <c r="O2" s="43"/>
      <c r="P2" s="44"/>
    </row>
    <row r="3" spans="2:17" ht="23.25" x14ac:dyDescent="0.35">
      <c r="B3" s="45"/>
      <c r="C3" s="3" t="s">
        <v>8</v>
      </c>
      <c r="D3" s="46"/>
      <c r="E3"/>
      <c r="F3" s="71"/>
      <c r="G3" s="72"/>
      <c r="H3" s="72"/>
      <c r="I3" s="72"/>
      <c r="J3" s="72"/>
      <c r="K3" s="72"/>
      <c r="L3" s="72"/>
      <c r="M3" s="72"/>
      <c r="N3" s="72"/>
      <c r="O3" s="72"/>
      <c r="P3" s="47"/>
    </row>
    <row r="4" spans="2:17" ht="6.75" customHeight="1" x14ac:dyDescent="0.2">
      <c r="B4" s="45"/>
      <c r="C4"/>
      <c r="D4"/>
      <c r="E4"/>
      <c r="F4" s="50"/>
      <c r="G4"/>
      <c r="H4"/>
      <c r="I4"/>
      <c r="J4"/>
      <c r="K4"/>
      <c r="L4"/>
      <c r="M4"/>
      <c r="N4"/>
      <c r="O4"/>
      <c r="P4" s="47"/>
    </row>
    <row r="5" spans="2:17" ht="17.25" thickBot="1" x14ac:dyDescent="0.3">
      <c r="B5" s="45"/>
      <c r="C5"/>
      <c r="D5" s="48"/>
      <c r="E5"/>
      <c r="F5" s="79" t="str">
        <f>IF(Pomocné!G8,"Pomocná hlášení","")</f>
        <v/>
      </c>
      <c r="G5" s="80"/>
      <c r="H5" s="80"/>
      <c r="I5" s="80"/>
      <c r="J5" s="80"/>
      <c r="K5" s="80"/>
      <c r="L5" s="80"/>
      <c r="M5" s="80"/>
      <c r="N5" s="80"/>
      <c r="O5" s="80"/>
      <c r="P5" s="47"/>
    </row>
    <row r="6" spans="2:17" ht="15" thickTop="1" x14ac:dyDescent="0.2">
      <c r="B6" s="45"/>
      <c r="C6" s="49" t="s">
        <v>9</v>
      </c>
      <c r="D6" s="1" t="s">
        <v>10</v>
      </c>
      <c r="E6"/>
      <c r="F6" s="76" t="str">
        <f>IF(Pomocné!S3*Pomocné!S5,Pomocné!F11,IF(Pomocné!S3,Pomocné!F9,IF(Pomocné!S5,Pomocné!F10,"")))</f>
        <v/>
      </c>
      <c r="G6" s="77"/>
      <c r="H6" s="77"/>
      <c r="I6" s="77"/>
      <c r="J6" s="77"/>
      <c r="K6" s="77"/>
      <c r="L6" s="77"/>
      <c r="M6" s="77"/>
      <c r="N6" s="77"/>
      <c r="O6" s="77"/>
      <c r="P6" s="47"/>
    </row>
    <row r="7" spans="2:17" x14ac:dyDescent="0.2">
      <c r="B7" s="45"/>
      <c r="C7" s="49" t="s">
        <v>11</v>
      </c>
      <c r="D7" s="10" t="s">
        <v>12</v>
      </c>
      <c r="E7" s="50" t="str">
        <f>IF(AND(D7="VVN",OR(D6=Ceník!$B$10,D6=Ceník!$B$11)),"K tomuto území existují pouze ceny na VN","")</f>
        <v/>
      </c>
      <c r="F7" s="76" t="str">
        <f>IF(Pomocné!S4,Pomocné!F12,"")</f>
        <v/>
      </c>
      <c r="G7" s="77"/>
      <c r="H7" s="77"/>
      <c r="I7" s="77"/>
      <c r="J7" s="77"/>
      <c r="K7" s="77"/>
      <c r="L7" s="77"/>
      <c r="M7" s="77"/>
      <c r="N7" s="77"/>
      <c r="O7" s="77"/>
      <c r="P7" s="47"/>
    </row>
    <row r="8" spans="2:17" x14ac:dyDescent="0.2">
      <c r="B8" s="45"/>
      <c r="C8" s="49"/>
      <c r="D8" s="49"/>
      <c r="E8"/>
      <c r="F8" s="76" t="str">
        <f>IF(Pomocné!S6,Pomocné!F13,"")</f>
        <v/>
      </c>
      <c r="G8" s="77"/>
      <c r="H8" s="77"/>
      <c r="I8" s="77"/>
      <c r="J8" s="77"/>
      <c r="K8" s="77"/>
      <c r="L8" s="77"/>
      <c r="M8" s="77"/>
      <c r="N8" s="77"/>
      <c r="O8" s="77"/>
      <c r="P8" s="47"/>
    </row>
    <row r="9" spans="2:17" x14ac:dyDescent="0.2">
      <c r="B9" s="45"/>
      <c r="C9" s="49"/>
      <c r="D9" s="49"/>
      <c r="E9"/>
      <c r="F9"/>
      <c r="G9"/>
      <c r="H9"/>
      <c r="I9"/>
      <c r="J9"/>
      <c r="K9"/>
      <c r="L9"/>
      <c r="M9"/>
      <c r="N9"/>
      <c r="O9"/>
      <c r="P9" s="47"/>
      <c r="Q9" s="70"/>
    </row>
    <row r="10" spans="2:17" ht="17.25" thickBot="1" x14ac:dyDescent="0.3">
      <c r="B10" s="45"/>
      <c r="C10" s="49"/>
      <c r="D10" s="51" t="s">
        <v>13</v>
      </c>
      <c r="E10" s="51" t="s">
        <v>14</v>
      </c>
      <c r="F10" s="51" t="s">
        <v>15</v>
      </c>
      <c r="G10" s="51" t="s">
        <v>16</v>
      </c>
      <c r="H10" s="51" t="s">
        <v>17</v>
      </c>
      <c r="I10" s="51" t="s">
        <v>18</v>
      </c>
      <c r="J10" s="51" t="s">
        <v>19</v>
      </c>
      <c r="K10" s="51" t="s">
        <v>20</v>
      </c>
      <c r="L10" s="51" t="s">
        <v>21</v>
      </c>
      <c r="M10" s="51" t="s">
        <v>22</v>
      </c>
      <c r="N10" s="51" t="s">
        <v>23</v>
      </c>
      <c r="O10" s="51" t="s">
        <v>24</v>
      </c>
      <c r="P10" s="47"/>
    </row>
    <row r="11" spans="2:17" ht="15" thickTop="1" x14ac:dyDescent="0.2">
      <c r="B11" s="45"/>
      <c r="C11" s="49" t="s">
        <v>25</v>
      </c>
      <c r="D11" s="2">
        <v>128.30799999999999</v>
      </c>
      <c r="E11" s="2">
        <v>103.83199999999999</v>
      </c>
      <c r="F11" s="2">
        <v>104.604</v>
      </c>
      <c r="G11" s="2">
        <v>84.253</v>
      </c>
      <c r="H11" s="2">
        <v>70.019000000000005</v>
      </c>
      <c r="I11" s="2">
        <v>63.067999999999998</v>
      </c>
      <c r="J11" s="2">
        <v>65.608999999999995</v>
      </c>
      <c r="K11" s="2">
        <v>68.194999999999993</v>
      </c>
      <c r="L11" s="2">
        <v>72.316999999999993</v>
      </c>
      <c r="M11" s="2">
        <v>87.918999999999997</v>
      </c>
      <c r="N11" s="2">
        <v>103.34699999999999</v>
      </c>
      <c r="O11" s="2">
        <v>121.658</v>
      </c>
      <c r="P11" s="47"/>
    </row>
    <row r="12" spans="2:17" x14ac:dyDescent="0.2">
      <c r="B12" s="45"/>
      <c r="C12" s="49" t="s">
        <v>26</v>
      </c>
      <c r="D12" s="33">
        <f>SUM(D11:O11)</f>
        <v>1073.1289999999999</v>
      </c>
      <c r="E12"/>
      <c r="F12"/>
      <c r="G12"/>
      <c r="H12"/>
      <c r="I12"/>
      <c r="J12"/>
      <c r="K12"/>
      <c r="L12"/>
      <c r="M12"/>
      <c r="N12"/>
      <c r="O12"/>
      <c r="P12" s="47"/>
    </row>
    <row r="13" spans="2:17" ht="15" thickBot="1" x14ac:dyDescent="0.25">
      <c r="B13" s="52"/>
      <c r="C13" s="53"/>
      <c r="D13" s="54"/>
      <c r="E13" s="54"/>
      <c r="F13" s="54"/>
      <c r="G13" s="54"/>
      <c r="H13" s="54"/>
      <c r="I13" s="54"/>
      <c r="J13" s="54"/>
      <c r="K13" s="54"/>
      <c r="L13" s="54"/>
      <c r="M13" s="54"/>
      <c r="N13" s="54"/>
      <c r="O13" s="54"/>
      <c r="P13" s="55"/>
    </row>
    <row r="14" spans="2:17" x14ac:dyDescent="0.2">
      <c r="B14" s="42"/>
      <c r="C14" s="56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/>
      <c r="O14" s="57"/>
      <c r="P14" s="44"/>
    </row>
    <row r="15" spans="2:17" ht="23.25" x14ac:dyDescent="0.35">
      <c r="B15" s="45"/>
      <c r="C15" s="46" t="s">
        <v>27</v>
      </c>
      <c r="D15"/>
      <c r="E15"/>
      <c r="F15"/>
      <c r="G15"/>
      <c r="H15"/>
      <c r="I15"/>
      <c r="J15"/>
      <c r="K15"/>
      <c r="L15"/>
      <c r="M15"/>
      <c r="N15"/>
      <c r="O15"/>
      <c r="P15" s="47"/>
    </row>
    <row r="16" spans="2:17" ht="6.75" customHeight="1" x14ac:dyDescent="0.2">
      <c r="B16" s="45"/>
      <c r="C16" s="49"/>
      <c r="D16"/>
      <c r="E16"/>
      <c r="F16"/>
      <c r="G16"/>
      <c r="H16"/>
      <c r="I16"/>
      <c r="J16"/>
      <c r="K16"/>
      <c r="L16"/>
      <c r="M16"/>
      <c r="N16"/>
      <c r="O16"/>
      <c r="P16" s="47"/>
    </row>
    <row r="17" spans="2:17" ht="17.25" thickBot="1" x14ac:dyDescent="0.3">
      <c r="B17" s="45"/>
      <c r="C17" s="49"/>
      <c r="D17" s="51" t="s">
        <v>13</v>
      </c>
      <c r="E17" s="51" t="s">
        <v>14</v>
      </c>
      <c r="F17" s="51" t="s">
        <v>15</v>
      </c>
      <c r="G17" s="51" t="s">
        <v>16</v>
      </c>
      <c r="H17" s="51" t="s">
        <v>17</v>
      </c>
      <c r="I17" s="51" t="s">
        <v>18</v>
      </c>
      <c r="J17" s="51" t="s">
        <v>19</v>
      </c>
      <c r="K17" s="51" t="s">
        <v>20</v>
      </c>
      <c r="L17" s="51" t="s">
        <v>21</v>
      </c>
      <c r="M17" s="51" t="s">
        <v>22</v>
      </c>
      <c r="N17" s="51" t="s">
        <v>23</v>
      </c>
      <c r="O17" s="51" t="s">
        <v>24</v>
      </c>
      <c r="P17" s="47"/>
    </row>
    <row r="18" spans="2:17" ht="15" thickTop="1" x14ac:dyDescent="0.2">
      <c r="B18" s="45"/>
      <c r="C18" s="49" t="s">
        <v>28</v>
      </c>
      <c r="D18" s="2">
        <v>0.155</v>
      </c>
      <c r="E18" s="2">
        <v>0.155</v>
      </c>
      <c r="F18" s="2">
        <v>0.155</v>
      </c>
      <c r="G18" s="2">
        <v>0.155</v>
      </c>
      <c r="H18" s="2">
        <v>0.155</v>
      </c>
      <c r="I18" s="2">
        <v>0.155</v>
      </c>
      <c r="J18" s="2">
        <v>0.155</v>
      </c>
      <c r="K18" s="2">
        <v>0.155</v>
      </c>
      <c r="L18" s="2">
        <v>0.155</v>
      </c>
      <c r="M18" s="2">
        <v>0.155</v>
      </c>
      <c r="N18" s="2">
        <v>0.155</v>
      </c>
      <c r="O18" s="2">
        <v>0.155</v>
      </c>
      <c r="P18" s="47"/>
      <c r="Q18" s="7" t="s">
        <v>86</v>
      </c>
    </row>
    <row r="19" spans="2:17" x14ac:dyDescent="0.2">
      <c r="B19" s="45"/>
      <c r="C19" s="49" t="s">
        <v>29</v>
      </c>
      <c r="D19" s="2">
        <v>0.115</v>
      </c>
      <c r="E19" s="2">
        <v>9.5000000000000001E-2</v>
      </c>
      <c r="F19" s="2">
        <v>8.5000000000000006E-2</v>
      </c>
      <c r="G19" s="2">
        <v>7.0000000000000007E-2</v>
      </c>
      <c r="H19" s="2">
        <v>0.02</v>
      </c>
      <c r="I19" s="2">
        <v>0</v>
      </c>
      <c r="J19" s="2">
        <v>0</v>
      </c>
      <c r="K19" s="2">
        <v>0</v>
      </c>
      <c r="L19" s="2">
        <v>3.5000000000000003E-2</v>
      </c>
      <c r="M19" s="2">
        <v>0.04</v>
      </c>
      <c r="N19" s="2">
        <v>0.115</v>
      </c>
      <c r="O19" s="2">
        <v>9.5000000000000001E-2</v>
      </c>
      <c r="P19" s="47"/>
    </row>
    <row r="20" spans="2:17" x14ac:dyDescent="0.2">
      <c r="B20" s="45"/>
      <c r="C20" s="49"/>
      <c r="D20"/>
      <c r="E20"/>
      <c r="F20"/>
      <c r="G20"/>
      <c r="H20"/>
      <c r="I20"/>
      <c r="J20"/>
      <c r="K20"/>
      <c r="L20"/>
      <c r="M20"/>
      <c r="N20"/>
      <c r="O20"/>
      <c r="P20" s="47"/>
    </row>
    <row r="21" spans="2:17" ht="17.25" thickBot="1" x14ac:dyDescent="0.3">
      <c r="B21" s="45"/>
      <c r="C21" s="49"/>
      <c r="D21" s="41" t="s">
        <v>30</v>
      </c>
      <c r="E21"/>
      <c r="F21"/>
      <c r="G21"/>
      <c r="H21"/>
      <c r="I21"/>
      <c r="J21"/>
      <c r="K21"/>
      <c r="L21"/>
      <c r="M21"/>
      <c r="N21"/>
      <c r="O21"/>
      <c r="P21" s="47"/>
    </row>
    <row r="22" spans="2:17" ht="15" thickTop="1" x14ac:dyDescent="0.2">
      <c r="B22" s="45"/>
      <c r="C22" s="49" t="s">
        <v>31</v>
      </c>
      <c r="D22" s="34">
        <f>VLOOKUP(CONCATENATE($D$6,$D$7),Ceník!$A$4:$J$11,4,0)</f>
        <v>252565</v>
      </c>
      <c r="E22" s="14"/>
      <c r="F22"/>
      <c r="G22"/>
      <c r="H22"/>
      <c r="I22"/>
      <c r="J22"/>
      <c r="K22"/>
      <c r="L22"/>
      <c r="M22"/>
      <c r="N22"/>
      <c r="O22"/>
      <c r="P22" s="47"/>
    </row>
    <row r="23" spans="2:17" x14ac:dyDescent="0.2">
      <c r="B23" s="45"/>
      <c r="C23" s="49" t="s">
        <v>32</v>
      </c>
      <c r="D23" s="34">
        <f>VLOOKUP(CONCATENATE($D$6,$D$7),Ceník!$A$4:$J$11,5,0)</f>
        <v>281823</v>
      </c>
      <c r="E23" s="14"/>
      <c r="F23"/>
      <c r="G23"/>
      <c r="H23"/>
      <c r="I23"/>
      <c r="J23"/>
      <c r="K23"/>
      <c r="L23"/>
      <c r="M23"/>
      <c r="N23"/>
      <c r="O23"/>
      <c r="P23" s="47"/>
    </row>
    <row r="24" spans="2:17" x14ac:dyDescent="0.2">
      <c r="B24" s="45"/>
      <c r="C24" s="49" t="s">
        <v>33</v>
      </c>
      <c r="D24" s="34">
        <f>VLOOKUP(CONCATENATE($D$6,$D$7),Ceník!$A$4:$J$11,6,0)</f>
        <v>106.22</v>
      </c>
      <c r="E24" s="14"/>
      <c r="F24"/>
      <c r="G24"/>
      <c r="H24"/>
      <c r="I24"/>
      <c r="J24"/>
      <c r="K24"/>
      <c r="L24"/>
      <c r="M24"/>
      <c r="N24"/>
      <c r="O24"/>
      <c r="P24" s="47"/>
    </row>
    <row r="25" spans="2:17" x14ac:dyDescent="0.2">
      <c r="B25" s="45"/>
      <c r="C25" s="49"/>
      <c r="D25"/>
      <c r="E25"/>
      <c r="F25"/>
      <c r="G25"/>
      <c r="H25"/>
      <c r="I25"/>
      <c r="J25"/>
      <c r="K25"/>
      <c r="L25"/>
      <c r="M25"/>
      <c r="N25"/>
      <c r="O25"/>
      <c r="P25" s="47"/>
    </row>
    <row r="26" spans="2:17" ht="16.5" x14ac:dyDescent="0.25">
      <c r="B26" s="45"/>
      <c r="C26" s="49"/>
      <c r="D26" s="35" t="s">
        <v>34</v>
      </c>
      <c r="E26"/>
      <c r="F26"/>
      <c r="G26"/>
      <c r="H26"/>
      <c r="I26"/>
      <c r="J26"/>
      <c r="K26"/>
      <c r="L26"/>
      <c r="M26"/>
      <c r="N26"/>
      <c r="O26"/>
      <c r="P26" s="47"/>
    </row>
    <row r="27" spans="2:17" ht="17.25" thickBot="1" x14ac:dyDescent="0.3">
      <c r="B27" s="45"/>
      <c r="C27" s="49"/>
      <c r="D27" s="51" t="s">
        <v>13</v>
      </c>
      <c r="E27" s="51" t="s">
        <v>14</v>
      </c>
      <c r="F27" s="51" t="s">
        <v>15</v>
      </c>
      <c r="G27" s="51" t="s">
        <v>16</v>
      </c>
      <c r="H27" s="51" t="s">
        <v>17</v>
      </c>
      <c r="I27" s="51" t="s">
        <v>18</v>
      </c>
      <c r="J27" s="51" t="s">
        <v>19</v>
      </c>
      <c r="K27" s="51" t="s">
        <v>20</v>
      </c>
      <c r="L27" s="51" t="s">
        <v>21</v>
      </c>
      <c r="M27" s="51" t="s">
        <v>22</v>
      </c>
      <c r="N27" s="51" t="s">
        <v>23</v>
      </c>
      <c r="O27" s="51" t="s">
        <v>24</v>
      </c>
      <c r="P27" s="47"/>
    </row>
    <row r="28" spans="2:17" ht="15" thickTop="1" x14ac:dyDescent="0.2">
      <c r="B28" s="45"/>
      <c r="C28" s="49" t="s">
        <v>35</v>
      </c>
      <c r="D28" s="36">
        <f>D18*$D$22+D19*$D$23+$D$24*D11+$D$23*((D18+D19)&lt;D36)*MIN(D36-D19-D18,0.1*D18+0.1*D19)</f>
        <v>85186.095759999997</v>
      </c>
      <c r="E28" s="36">
        <f t="shared" ref="E28:O28" si="0">E18*$D$22+E19*$D$23+$D$24*E11+$D$23*((E18+E19)&lt;E36)*MIN(E36-E19-E18,0.1*E18+0.1*E19)</f>
        <v>76949.795039999997</v>
      </c>
      <c r="F28" s="36">
        <f t="shared" si="0"/>
        <v>74213.566879999998</v>
      </c>
      <c r="G28" s="36">
        <f t="shared" si="0"/>
        <v>67824.538659999991</v>
      </c>
      <c r="H28" s="36">
        <f t="shared" si="0"/>
        <v>52221.453179999997</v>
      </c>
      <c r="I28" s="36">
        <f t="shared" si="0"/>
        <v>45846.657959999997</v>
      </c>
      <c r="J28" s="36">
        <f t="shared" si="0"/>
        <v>46116.562979999995</v>
      </c>
      <c r="K28" s="36">
        <f t="shared" si="0"/>
        <v>46391.247899999995</v>
      </c>
      <c r="L28" s="36">
        <f t="shared" si="0"/>
        <v>56692.891739999999</v>
      </c>
      <c r="M28" s="36">
        <f t="shared" si="0"/>
        <v>59759.251179999992</v>
      </c>
      <c r="N28" s="36">
        <f t="shared" si="0"/>
        <v>82534.738339999996</v>
      </c>
      <c r="O28" s="36">
        <f t="shared" si="0"/>
        <v>78843.272759999993</v>
      </c>
      <c r="P28" s="47"/>
    </row>
    <row r="29" spans="2:17" ht="15.75" thickBot="1" x14ac:dyDescent="0.3">
      <c r="B29" s="45"/>
      <c r="C29" s="37" t="s">
        <v>36</v>
      </c>
      <c r="D29" s="38">
        <f>SUM(D28:O28)</f>
        <v>772580.07238000003</v>
      </c>
      <c r="E29" s="73" t="str">
        <f>IF(AND(Pomocné!S5&gt;0,Pomocné!S3&gt;0),"Není započtena cena za překročení rezervovaného příkonu a cena za překročení rezervované kapacity",IF(Pomocné!S5&gt;0,"Není započtena cena za překročení rezervovaného příkonu",IF(Pomocné!S3&gt;0,"Není započtena cena za překročení rezervované kapacity","")))</f>
        <v/>
      </c>
      <c r="F29"/>
      <c r="G29"/>
      <c r="H29"/>
      <c r="I29"/>
      <c r="J29"/>
      <c r="K29"/>
      <c r="L29"/>
      <c r="M29"/>
      <c r="N29"/>
      <c r="O29"/>
      <c r="P29" s="47"/>
    </row>
    <row r="30" spans="2:17" ht="16.5" thickTop="1" thickBot="1" x14ac:dyDescent="0.3">
      <c r="B30" s="52"/>
      <c r="C30" s="59"/>
      <c r="D30" s="60"/>
      <c r="E30" s="60"/>
      <c r="F30" s="60"/>
      <c r="G30" s="60"/>
      <c r="H30" s="60"/>
      <c r="I30" s="60"/>
      <c r="J30" s="60"/>
      <c r="K30" s="60"/>
      <c r="L30" s="60"/>
      <c r="M30" s="60"/>
      <c r="N30" s="60"/>
      <c r="O30" s="60"/>
      <c r="P30" s="55"/>
    </row>
    <row r="31" spans="2:17" ht="15" customHeight="1" x14ac:dyDescent="0.25">
      <c r="B31" s="42"/>
      <c r="C31" s="61"/>
      <c r="D31" s="57"/>
      <c r="E31" s="57"/>
      <c r="F31" s="57"/>
      <c r="G31" s="57"/>
      <c r="H31" s="57"/>
      <c r="I31" s="57"/>
      <c r="J31" s="57"/>
      <c r="K31" s="57"/>
      <c r="L31" s="57"/>
      <c r="M31" s="57"/>
      <c r="N31" s="57"/>
      <c r="O31" s="57"/>
      <c r="P31" s="44"/>
    </row>
    <row r="32" spans="2:17" ht="23.25" customHeight="1" x14ac:dyDescent="0.35">
      <c r="B32" s="45"/>
      <c r="C32" s="46" t="s">
        <v>37</v>
      </c>
      <c r="D32"/>
      <c r="E32"/>
      <c r="F32"/>
      <c r="G32"/>
      <c r="H32"/>
      <c r="I32"/>
      <c r="J32"/>
      <c r="K32"/>
      <c r="L32"/>
      <c r="M32"/>
      <c r="N32"/>
      <c r="O32"/>
      <c r="P32" s="47"/>
    </row>
    <row r="33" spans="2:16" ht="6.75" customHeight="1" x14ac:dyDescent="0.2">
      <c r="B33" s="45"/>
      <c r="C33" s="49"/>
      <c r="D33"/>
      <c r="E33"/>
      <c r="F33"/>
      <c r="G33"/>
      <c r="H33"/>
      <c r="I33"/>
      <c r="J33"/>
      <c r="K33"/>
      <c r="L33"/>
      <c r="M33"/>
      <c r="N33"/>
      <c r="O33"/>
      <c r="P33" s="47"/>
    </row>
    <row r="34" spans="2:16" ht="18" customHeight="1" thickBot="1" x14ac:dyDescent="0.3">
      <c r="B34" s="45"/>
      <c r="C34" s="49"/>
      <c r="D34" s="51" t="s">
        <v>13</v>
      </c>
      <c r="E34" s="51" t="s">
        <v>14</v>
      </c>
      <c r="F34" s="51" t="s">
        <v>15</v>
      </c>
      <c r="G34" s="51" t="s">
        <v>16</v>
      </c>
      <c r="H34" s="51" t="s">
        <v>17</v>
      </c>
      <c r="I34" s="51" t="s">
        <v>18</v>
      </c>
      <c r="J34" s="51" t="s">
        <v>19</v>
      </c>
      <c r="K34" s="51" t="s">
        <v>20</v>
      </c>
      <c r="L34" s="51" t="s">
        <v>21</v>
      </c>
      <c r="M34" s="51" t="s">
        <v>22</v>
      </c>
      <c r="N34" s="51" t="s">
        <v>23</v>
      </c>
      <c r="O34" s="51" t="s">
        <v>24</v>
      </c>
      <c r="P34" s="47"/>
    </row>
    <row r="35" spans="2:16" ht="15" customHeight="1" thickTop="1" x14ac:dyDescent="0.2">
      <c r="B35" s="45"/>
      <c r="C35" s="49" t="s">
        <v>38</v>
      </c>
      <c r="D35" s="2">
        <v>0.34599999999999997</v>
      </c>
      <c r="E35" s="2">
        <v>0.34599999999999997</v>
      </c>
      <c r="F35" s="2">
        <v>0.34599999999999997</v>
      </c>
      <c r="G35" s="2">
        <v>0.34599999999999997</v>
      </c>
      <c r="H35" s="2">
        <v>0.34599999999999997</v>
      </c>
      <c r="I35" s="2">
        <v>0.34599999999999997</v>
      </c>
      <c r="J35" s="2">
        <v>0.34599999999999997</v>
      </c>
      <c r="K35" s="2">
        <v>0.34599999999999997</v>
      </c>
      <c r="L35" s="2">
        <v>0.34599999999999997</v>
      </c>
      <c r="M35" s="2">
        <v>0.34599999999999997</v>
      </c>
      <c r="N35" s="2">
        <v>0.34599999999999997</v>
      </c>
      <c r="O35" s="2">
        <v>0.34599999999999997</v>
      </c>
      <c r="P35" s="47"/>
    </row>
    <row r="36" spans="2:16" ht="15" customHeight="1" x14ac:dyDescent="0.2">
      <c r="B36" s="45"/>
      <c r="C36" s="49" t="s">
        <v>39</v>
      </c>
      <c r="D36" s="2">
        <v>0.246</v>
      </c>
      <c r="E36" s="2">
        <v>0.223</v>
      </c>
      <c r="F36" s="2">
        <v>0.20399999999999999</v>
      </c>
      <c r="G36" s="2">
        <v>0.191</v>
      </c>
      <c r="H36" s="2">
        <v>0.152</v>
      </c>
      <c r="I36" s="2">
        <v>0.14199999999999999</v>
      </c>
      <c r="J36" s="2">
        <v>0.13500000000000001</v>
      </c>
      <c r="K36" s="2">
        <v>0.13800000000000001</v>
      </c>
      <c r="L36" s="2">
        <v>0.159</v>
      </c>
      <c r="M36" s="2">
        <v>0.182</v>
      </c>
      <c r="N36" s="2">
        <v>0.20599999999999999</v>
      </c>
      <c r="O36" s="2">
        <v>0.22</v>
      </c>
      <c r="P36" s="47"/>
    </row>
    <row r="37" spans="2:16" ht="22.5" customHeight="1" x14ac:dyDescent="0.2">
      <c r="B37" s="45"/>
      <c r="C37" s="49"/>
      <c r="D37" s="62" t="str">
        <f>IF((Pomocné!G3+Pomocné!G4+Pomocné!G5),"Viz hlášení výše","")</f>
        <v/>
      </c>
      <c r="E37" s="62" t="str">
        <f>IF((Pomocné!H3+Pomocné!H4+Pomocné!H5),"Viz hlášení výše","")</f>
        <v/>
      </c>
      <c r="F37" s="62" t="str">
        <f>IF((Pomocné!I3+Pomocné!I4+Pomocné!I5),"Viz hlášení výše","")</f>
        <v/>
      </c>
      <c r="G37" s="62" t="str">
        <f>IF((Pomocné!J3+Pomocné!J4+Pomocné!J5),"Viz hlášení výše","")</f>
        <v/>
      </c>
      <c r="H37" s="62" t="str">
        <f>IF((Pomocné!K3+Pomocné!K4+Pomocné!K5),"Viz hlášení výše","")</f>
        <v/>
      </c>
      <c r="I37" s="62" t="str">
        <f>IF((Pomocné!L3+Pomocné!L4+Pomocné!L5),"Viz hlášení výše","")</f>
        <v/>
      </c>
      <c r="J37" s="62" t="str">
        <f>IF((Pomocné!M3+Pomocné!M4+Pomocné!M5),"Viz hlášení výše","")</f>
        <v/>
      </c>
      <c r="K37" s="62" t="str">
        <f>IF((Pomocné!N3+Pomocné!N4+Pomocné!N5),"Viz hlášení výše","")</f>
        <v/>
      </c>
      <c r="L37" s="62" t="str">
        <f>IF((Pomocné!O3+Pomocné!O4+Pomocné!O5),"Viz hlášení výše","")</f>
        <v/>
      </c>
      <c r="M37" s="62" t="str">
        <f>IF((Pomocné!P3+Pomocné!P4+Pomocné!P5),"Viz hlášení výše","")</f>
        <v/>
      </c>
      <c r="N37" s="62" t="str">
        <f>IF((Pomocné!Q3+Pomocné!Q4+Pomocné!Q5),"Viz hlášení výše","")</f>
        <v/>
      </c>
      <c r="O37" s="62" t="str">
        <f>IF((Pomocné!R3+Pomocné!R4+Pomocné!R5),"Viz hlášení výše","")</f>
        <v/>
      </c>
      <c r="P37" s="47"/>
    </row>
    <row r="38" spans="2:16" ht="15" customHeight="1" thickBot="1" x14ac:dyDescent="0.3">
      <c r="B38" s="45"/>
      <c r="C38" s="49"/>
      <c r="D38" s="41" t="s">
        <v>30</v>
      </c>
      <c r="E38"/>
      <c r="F38"/>
      <c r="G38"/>
      <c r="H38"/>
      <c r="I38"/>
      <c r="J38"/>
      <c r="K38"/>
      <c r="L38"/>
      <c r="M38"/>
      <c r="N38"/>
      <c r="O38"/>
      <c r="P38" s="47"/>
    </row>
    <row r="39" spans="2:16" ht="15" customHeight="1" thickTop="1" x14ac:dyDescent="0.2">
      <c r="B39" s="45"/>
      <c r="C39" s="49" t="s">
        <v>40</v>
      </c>
      <c r="D39" s="49" t="str">
        <f>IF(((VLOOKUP(CONCATENATE($D$6,$D$7),Ceník!$A$20:$G$27,4,0)*D35+VLOOKUP(CONCATENATE($D$6,$D$7),Ceník!$A$20:$G$27,6,0)*D36)&lt;(VLOOKUP(CONCATENATE($D$6,$D$7),Ceník!$A$20:$G$27,5,0)*D35+VLOOKUP(CONCATENATE($D$6,$D$7),Ceník!$A$20:$G$27,7,0)*D36)),"T1","T2")</f>
        <v>T2</v>
      </c>
      <c r="E39" s="49" t="str">
        <f>IF(((VLOOKUP(CONCATENATE($D$6,$D$7),Ceník!$A$20:$G$27,4,0)*E35+VLOOKUP(CONCATENATE($D$6,$D$7),Ceník!$A$20:$G$27,6,0)*E36)&lt;(VLOOKUP(CONCATENATE($D$6,$D$7),Ceník!$A$20:$G$27,5,0)*E35+VLOOKUP(CONCATENATE($D$6,$D$7),Ceník!$A$20:$G$27,7,0)*E36)),"T1","T2")</f>
        <v>T2</v>
      </c>
      <c r="F39" s="49" t="str">
        <f>IF(((VLOOKUP(CONCATENATE($D$6,$D$7),Ceník!$A$20:$G$27,4,0)*F35+VLOOKUP(CONCATENATE($D$6,$D$7),Ceník!$A$20:$G$27,6,0)*F36)&lt;(VLOOKUP(CONCATENATE($D$6,$D$7),Ceník!$A$20:$G$27,5,0)*F35+VLOOKUP(CONCATENATE($D$6,$D$7),Ceník!$A$20:$G$27,7,0)*F36)),"T1","T2")</f>
        <v>T2</v>
      </c>
      <c r="G39" s="49" t="str">
        <f>IF(((VLOOKUP(CONCATENATE($D$6,$D$7),Ceník!$A$20:$G$27,4,0)*G35+VLOOKUP(CONCATENATE($D$6,$D$7),Ceník!$A$20:$G$27,6,0)*G36)&lt;(VLOOKUP(CONCATENATE($D$6,$D$7),Ceník!$A$20:$G$27,5,0)*G35+VLOOKUP(CONCATENATE($D$6,$D$7),Ceník!$A$20:$G$27,7,0)*G36)),"T1","T2")</f>
        <v>T2</v>
      </c>
      <c r="H39" s="49" t="str">
        <f>IF(((VLOOKUP(CONCATENATE($D$6,$D$7),Ceník!$A$20:$G$27,4,0)*H35+VLOOKUP(CONCATENATE($D$6,$D$7),Ceník!$A$20:$G$27,6,0)*H36)&lt;(VLOOKUP(CONCATENATE($D$6,$D$7),Ceník!$A$20:$G$27,5,0)*H35+VLOOKUP(CONCATENATE($D$6,$D$7),Ceník!$A$20:$G$27,7,0)*H36)),"T1","T2")</f>
        <v>T2</v>
      </c>
      <c r="I39" s="49" t="str">
        <f>IF(((VLOOKUP(CONCATENATE($D$6,$D$7),Ceník!$A$20:$G$27,4,0)*I35+VLOOKUP(CONCATENATE($D$6,$D$7),Ceník!$A$20:$G$27,6,0)*I36)&lt;(VLOOKUP(CONCATENATE($D$6,$D$7),Ceník!$A$20:$G$27,5,0)*I35+VLOOKUP(CONCATENATE($D$6,$D$7),Ceník!$A$20:$G$27,7,0)*I36)),"T1","T2")</f>
        <v>T2</v>
      </c>
      <c r="J39" s="49" t="str">
        <f>IF(((VLOOKUP(CONCATENATE($D$6,$D$7),Ceník!$A$20:$G$27,4,0)*J35+VLOOKUP(CONCATENATE($D$6,$D$7),Ceník!$A$20:$G$27,6,0)*J36)&lt;(VLOOKUP(CONCATENATE($D$6,$D$7),Ceník!$A$20:$G$27,5,0)*J35+VLOOKUP(CONCATENATE($D$6,$D$7),Ceník!$A$20:$G$27,7,0)*J36)),"T1","T2")</f>
        <v>T2</v>
      </c>
      <c r="K39" s="49" t="str">
        <f>IF(((VLOOKUP(CONCATENATE($D$6,$D$7),Ceník!$A$20:$G$27,4,0)*K35+VLOOKUP(CONCATENATE($D$6,$D$7),Ceník!$A$20:$G$27,6,0)*K36)&lt;(VLOOKUP(CONCATENATE($D$6,$D$7),Ceník!$A$20:$G$27,5,0)*K35+VLOOKUP(CONCATENATE($D$6,$D$7),Ceník!$A$20:$G$27,7,0)*K36)),"T1","T2")</f>
        <v>T2</v>
      </c>
      <c r="L39" s="49" t="str">
        <f>IF(((VLOOKUP(CONCATENATE($D$6,$D$7),Ceník!$A$20:$G$27,4,0)*L35+VLOOKUP(CONCATENATE($D$6,$D$7),Ceník!$A$20:$G$27,6,0)*L36)&lt;(VLOOKUP(CONCATENATE($D$6,$D$7),Ceník!$A$20:$G$27,5,0)*L35+VLOOKUP(CONCATENATE($D$6,$D$7),Ceník!$A$20:$G$27,7,0)*L36)),"T1","T2")</f>
        <v>T2</v>
      </c>
      <c r="M39" s="49" t="str">
        <f>IF(((VLOOKUP(CONCATENATE($D$6,$D$7),Ceník!$A$20:$G$27,4,0)*M35+VLOOKUP(CONCATENATE($D$6,$D$7),Ceník!$A$20:$G$27,6,0)*M36)&lt;(VLOOKUP(CONCATENATE($D$6,$D$7),Ceník!$A$20:$G$27,5,0)*M35+VLOOKUP(CONCATENATE($D$6,$D$7),Ceník!$A$20:$G$27,7,0)*M36)),"T1","T2")</f>
        <v>T2</v>
      </c>
      <c r="N39" s="49" t="str">
        <f>IF(((VLOOKUP(CONCATENATE($D$6,$D$7),Ceník!$A$20:$G$27,4,0)*N35+VLOOKUP(CONCATENATE($D$6,$D$7),Ceník!$A$20:$G$27,6,0)*N36)&lt;(VLOOKUP(CONCATENATE($D$6,$D$7),Ceník!$A$20:$G$27,5,0)*N35+VLOOKUP(CONCATENATE($D$6,$D$7),Ceník!$A$20:$G$27,7,0)*N36)),"T1","T2")</f>
        <v>T2</v>
      </c>
      <c r="O39" s="49" t="str">
        <f>IF(((VLOOKUP(CONCATENATE($D$6,$D$7),Ceník!$A$20:$G$27,4,0)*O35+VLOOKUP(CONCATENATE($D$6,$D$7),Ceník!$A$20:$G$27,6,0)*O36)&lt;(VLOOKUP(CONCATENATE($D$6,$D$7),Ceník!$A$20:$G$27,5,0)*O35+VLOOKUP(CONCATENATE($D$6,$D$7),Ceník!$A$20:$G$27,7,0)*O36)),"T1","T2")</f>
        <v>T2</v>
      </c>
      <c r="P39" s="47"/>
    </row>
    <row r="40" spans="2:16" ht="15" customHeight="1" x14ac:dyDescent="0.2">
      <c r="B40" s="45"/>
      <c r="C40" s="49" t="s">
        <v>41</v>
      </c>
      <c r="D40" s="34">
        <f>IF(D39="T1",VLOOKUP(CONCATENATE($D$6,$D$7),Ceník!$A$20:$G$27,4,0),VLOOKUP(CONCATENATE($D$6,$D$7),Ceník!$A$20:$G$27,5,0))</f>
        <v>22743</v>
      </c>
      <c r="E40" s="34">
        <f>IF(E39="T1",VLOOKUP(CONCATENATE($D$6,$D$7),Ceník!$A$20:$G$27,4,0),VLOOKUP(CONCATENATE($D$6,$D$7),Ceník!$A$20:$G$27,5,0))</f>
        <v>22743</v>
      </c>
      <c r="F40" s="34">
        <f>IF(F39="T1",VLOOKUP(CONCATENATE($D$6,$D$7),Ceník!$A$20:$G$27,4,0),VLOOKUP(CONCATENATE($D$6,$D$7),Ceník!$A$20:$G$27,5,0))</f>
        <v>22743</v>
      </c>
      <c r="G40" s="34">
        <f>IF(G39="T1",VLOOKUP(CONCATENATE($D$6,$D$7),Ceník!$A$20:$G$27,4,0),VLOOKUP(CONCATENATE($D$6,$D$7),Ceník!$A$20:$G$27,5,0))</f>
        <v>22743</v>
      </c>
      <c r="H40" s="34">
        <f>IF(H39="T1",VLOOKUP(CONCATENATE($D$6,$D$7),Ceník!$A$20:$G$27,4,0),VLOOKUP(CONCATENATE($D$6,$D$7),Ceník!$A$20:$G$27,5,0))</f>
        <v>22743</v>
      </c>
      <c r="I40" s="34">
        <f>IF(I39="T1",VLOOKUP(CONCATENATE($D$6,$D$7),Ceník!$A$20:$G$27,4,0),VLOOKUP(CONCATENATE($D$6,$D$7),Ceník!$A$20:$G$27,5,0))</f>
        <v>22743</v>
      </c>
      <c r="J40" s="34">
        <f>IF(J39="T1",VLOOKUP(CONCATENATE($D$6,$D$7),Ceník!$A$20:$G$27,4,0),VLOOKUP(CONCATENATE($D$6,$D$7),Ceník!$A$20:$G$27,5,0))</f>
        <v>22743</v>
      </c>
      <c r="K40" s="34">
        <f>IF(K39="T1",VLOOKUP(CONCATENATE($D$6,$D$7),Ceník!$A$20:$G$27,4,0),VLOOKUP(CONCATENATE($D$6,$D$7),Ceník!$A$20:$G$27,5,0))</f>
        <v>22743</v>
      </c>
      <c r="L40" s="34">
        <f>IF(L39="T1",VLOOKUP(CONCATENATE($D$6,$D$7),Ceník!$A$20:$G$27,4,0),VLOOKUP(CONCATENATE($D$6,$D$7),Ceník!$A$20:$G$27,5,0))</f>
        <v>22743</v>
      </c>
      <c r="M40" s="34">
        <f>IF(M39="T1",VLOOKUP(CONCATENATE($D$6,$D$7),Ceník!$A$20:$G$27,4,0),VLOOKUP(CONCATENATE($D$6,$D$7),Ceník!$A$20:$G$27,5,0))</f>
        <v>22743</v>
      </c>
      <c r="N40" s="34">
        <f>IF(N39="T1",VLOOKUP(CONCATENATE($D$6,$D$7),Ceník!$A$20:$G$27,4,0),VLOOKUP(CONCATENATE($D$6,$D$7),Ceník!$A$20:$G$27,5,0))</f>
        <v>22743</v>
      </c>
      <c r="O40" s="34">
        <f>IF(O39="T1",VLOOKUP(CONCATENATE($D$6,$D$7),Ceník!$A$20:$G$27,4,0),VLOOKUP(CONCATENATE($D$6,$D$7),Ceník!$A$20:$G$27,5,0))</f>
        <v>22743</v>
      </c>
      <c r="P40" s="47"/>
    </row>
    <row r="41" spans="2:16" ht="15" customHeight="1" x14ac:dyDescent="0.2">
      <c r="B41" s="45"/>
      <c r="C41" s="49" t="s">
        <v>42</v>
      </c>
      <c r="D41" s="34">
        <f>IF(D39="T1",VLOOKUP(CONCATENATE($D$6,$D$7),Ceník!$A$20:$G$27,6,0),VLOOKUP(CONCATENATE($D$6,$D$7),Ceník!$A$20:$G$27,7,0))</f>
        <v>227429</v>
      </c>
      <c r="E41" s="34">
        <f>IF(E39="T1",VLOOKUP(CONCATENATE($D$6,$D$7),Ceník!$A$20:$G$27,6,0),VLOOKUP(CONCATENATE($D$6,$D$7),Ceník!$A$20:$G$27,7,0))</f>
        <v>227429</v>
      </c>
      <c r="F41" s="34">
        <f>IF(F39="T1",VLOOKUP(CONCATENATE($D$6,$D$7),Ceník!$A$20:$G$27,6,0),VLOOKUP(CONCATENATE($D$6,$D$7),Ceník!$A$20:$G$27,7,0))</f>
        <v>227429</v>
      </c>
      <c r="G41" s="34">
        <f>IF(G39="T1",VLOOKUP(CONCATENATE($D$6,$D$7),Ceník!$A$20:$G$27,6,0),VLOOKUP(CONCATENATE($D$6,$D$7),Ceník!$A$20:$G$27,7,0))</f>
        <v>227429</v>
      </c>
      <c r="H41" s="34">
        <f>IF(H39="T1",VLOOKUP(CONCATENATE($D$6,$D$7),Ceník!$A$20:$G$27,6,0),VLOOKUP(CONCATENATE($D$6,$D$7),Ceník!$A$20:$G$27,7,0))</f>
        <v>227429</v>
      </c>
      <c r="I41" s="34">
        <f>IF(I39="T1",VLOOKUP(CONCATENATE($D$6,$D$7),Ceník!$A$20:$G$27,6,0),VLOOKUP(CONCATENATE($D$6,$D$7),Ceník!$A$20:$G$27,7,0))</f>
        <v>227429</v>
      </c>
      <c r="J41" s="34">
        <f>IF(J39="T1",VLOOKUP(CONCATENATE($D$6,$D$7),Ceník!$A$20:$G$27,6,0),VLOOKUP(CONCATENATE($D$6,$D$7),Ceník!$A$20:$G$27,7,0))</f>
        <v>227429</v>
      </c>
      <c r="K41" s="34">
        <f>IF(K39="T1",VLOOKUP(CONCATENATE($D$6,$D$7),Ceník!$A$20:$G$27,6,0),VLOOKUP(CONCATENATE($D$6,$D$7),Ceník!$A$20:$G$27,7,0))</f>
        <v>227429</v>
      </c>
      <c r="L41" s="34">
        <f>IF(L39="T1",VLOOKUP(CONCATENATE($D$6,$D$7),Ceník!$A$20:$G$27,6,0),VLOOKUP(CONCATENATE($D$6,$D$7),Ceník!$A$20:$G$27,7,0))</f>
        <v>227429</v>
      </c>
      <c r="M41" s="34">
        <f>IF(M39="T1",VLOOKUP(CONCATENATE($D$6,$D$7),Ceník!$A$20:$G$27,6,0),VLOOKUP(CONCATENATE($D$6,$D$7),Ceník!$A$20:$G$27,7,0))</f>
        <v>227429</v>
      </c>
      <c r="N41" s="34">
        <f>IF(N39="T1",VLOOKUP(CONCATENATE($D$6,$D$7),Ceník!$A$20:$G$27,6,0),VLOOKUP(CONCATENATE($D$6,$D$7),Ceník!$A$20:$G$27,7,0))</f>
        <v>227429</v>
      </c>
      <c r="O41" s="34">
        <f>IF(O39="T1",VLOOKUP(CONCATENATE($D$6,$D$7),Ceník!$A$20:$G$27,6,0),VLOOKUP(CONCATENATE($D$6,$D$7),Ceník!$A$20:$G$27,7,0))</f>
        <v>227429</v>
      </c>
      <c r="P41" s="47"/>
    </row>
    <row r="42" spans="2:16" ht="15" customHeight="1" x14ac:dyDescent="0.2">
      <c r="B42" s="45"/>
      <c r="C42" s="49" t="s">
        <v>33</v>
      </c>
      <c r="D42" s="34">
        <f>VLOOKUP(CONCATENATE($D$6,$D$7),Ceník!$A$20:$H$27,8,0)</f>
        <v>106.66</v>
      </c>
      <c r="E42"/>
      <c r="F42"/>
      <c r="G42"/>
      <c r="H42"/>
      <c r="I42"/>
      <c r="J42"/>
      <c r="K42"/>
      <c r="L42"/>
      <c r="M42"/>
      <c r="N42"/>
      <c r="O42"/>
      <c r="P42" s="47"/>
    </row>
    <row r="43" spans="2:16" ht="15" customHeight="1" x14ac:dyDescent="0.2">
      <c r="B43" s="45"/>
      <c r="C43" s="49"/>
      <c r="D43"/>
      <c r="E43"/>
      <c r="F43"/>
      <c r="G43"/>
      <c r="H43"/>
      <c r="I43"/>
      <c r="J43"/>
      <c r="K43"/>
      <c r="L43"/>
      <c r="M43"/>
      <c r="N43"/>
      <c r="O43"/>
      <c r="P43" s="47"/>
    </row>
    <row r="44" spans="2:16" ht="15" customHeight="1" x14ac:dyDescent="0.25">
      <c r="B44" s="45"/>
      <c r="C44" s="49"/>
      <c r="D44" s="35" t="s">
        <v>34</v>
      </c>
      <c r="E44"/>
      <c r="F44"/>
      <c r="G44"/>
      <c r="H44"/>
      <c r="I44"/>
      <c r="J44"/>
      <c r="K44"/>
      <c r="L44"/>
      <c r="M44"/>
      <c r="N44"/>
      <c r="O44"/>
      <c r="P44" s="47"/>
    </row>
    <row r="45" spans="2:16" ht="15" customHeight="1" thickBot="1" x14ac:dyDescent="0.3">
      <c r="B45" s="45"/>
      <c r="C45" s="49"/>
      <c r="D45" s="51" t="s">
        <v>13</v>
      </c>
      <c r="E45" s="51" t="s">
        <v>14</v>
      </c>
      <c r="F45" s="51" t="s">
        <v>15</v>
      </c>
      <c r="G45" s="51" t="s">
        <v>16</v>
      </c>
      <c r="H45" s="51" t="s">
        <v>17</v>
      </c>
      <c r="I45" s="51" t="s">
        <v>18</v>
      </c>
      <c r="J45" s="51" t="s">
        <v>19</v>
      </c>
      <c r="K45" s="51" t="s">
        <v>20</v>
      </c>
      <c r="L45" s="51" t="s">
        <v>21</v>
      </c>
      <c r="M45" s="51" t="s">
        <v>22</v>
      </c>
      <c r="N45" s="51" t="s">
        <v>23</v>
      </c>
      <c r="O45" s="51" t="s">
        <v>24</v>
      </c>
      <c r="P45" s="47"/>
    </row>
    <row r="46" spans="2:16" ht="15" customHeight="1" thickTop="1" x14ac:dyDescent="0.2">
      <c r="B46" s="45"/>
      <c r="C46" s="49" t="s">
        <v>35</v>
      </c>
      <c r="D46" s="36">
        <f>MAX(D36,0.6*D35)*D40+D36*D41+$D$42*D11</f>
        <v>75227.643279999989</v>
      </c>
      <c r="E46" s="36">
        <f t="shared" ref="E46:O46" si="1">MAX(E36,0.6*E35)*E40+E36*E41+$D$42*E11</f>
        <v>66863.077120000002</v>
      </c>
      <c r="F46" s="36">
        <f t="shared" si="1"/>
        <v>62274.025439999998</v>
      </c>
      <c r="G46" s="36">
        <f t="shared" si="1"/>
        <v>57146.81078</v>
      </c>
      <c r="H46" s="36">
        <f t="shared" si="1"/>
        <v>46758.88134</v>
      </c>
      <c r="I46" s="36">
        <f t="shared" si="1"/>
        <v>43743.197679999997</v>
      </c>
      <c r="J46" s="36">
        <f t="shared" si="1"/>
        <v>42422.21774</v>
      </c>
      <c r="K46" s="36">
        <f t="shared" si="1"/>
        <v>43380.327499999999</v>
      </c>
      <c r="L46" s="36">
        <f t="shared" si="1"/>
        <v>48595.989020000001</v>
      </c>
      <c r="M46" s="36">
        <f t="shared" si="1"/>
        <v>55490.965339999995</v>
      </c>
      <c r="N46" s="36">
        <f t="shared" si="1"/>
        <v>62594.811819999995</v>
      </c>
      <c r="O46" s="36">
        <f t="shared" si="1"/>
        <v>68013.882279999991</v>
      </c>
      <c r="P46" s="47"/>
    </row>
    <row r="47" spans="2:16" ht="15" customHeight="1" thickBot="1" x14ac:dyDescent="0.3">
      <c r="B47" s="45"/>
      <c r="C47" s="37" t="s">
        <v>36</v>
      </c>
      <c r="D47" s="38">
        <f>SUM(D46:O46)</f>
        <v>672511.82933999994</v>
      </c>
      <c r="E47" s="73" t="str">
        <f>IF(AND(Pomocné!S5&gt;0,Pomocné!S3&gt;0),"Není započtena cena za překročení rezervovaného příkonu a cena za překročení rezervované kapacity",IF(Pomocné!S5&gt;0,"Není započtena cena za překročení rezervovaného příkonu",IF(Pomocné!S3&gt;0,"Není započtena cena za překročení rezervované kapacity","")))</f>
        <v/>
      </c>
      <c r="F47"/>
      <c r="G47"/>
      <c r="H47"/>
      <c r="I47"/>
      <c r="J47"/>
      <c r="K47"/>
      <c r="L47"/>
      <c r="M47"/>
      <c r="N47"/>
      <c r="O47"/>
      <c r="P47" s="47"/>
    </row>
    <row r="48" spans="2:16" ht="15" customHeight="1" thickTop="1" x14ac:dyDescent="0.25">
      <c r="B48" s="45"/>
      <c r="C48" s="63"/>
      <c r="D48" s="58"/>
      <c r="E48" s="58"/>
      <c r="F48"/>
      <c r="G48"/>
      <c r="H48"/>
      <c r="I48"/>
      <c r="J48"/>
      <c r="K48"/>
      <c r="L48"/>
      <c r="M48"/>
      <c r="N48"/>
      <c r="O48"/>
      <c r="P48" s="47"/>
    </row>
    <row r="49" spans="2:16" ht="15" customHeight="1" x14ac:dyDescent="0.25">
      <c r="B49" s="45"/>
      <c r="C49" s="64" t="s">
        <v>43</v>
      </c>
      <c r="D49" s="39">
        <f>D46-D28</f>
        <v>-9958.4524800000072</v>
      </c>
      <c r="E49" s="39">
        <f t="shared" ref="E49:O49" si="2">E46-E28</f>
        <v>-10086.717919999996</v>
      </c>
      <c r="F49" s="39">
        <f t="shared" si="2"/>
        <v>-11939.541440000001</v>
      </c>
      <c r="G49" s="39">
        <f t="shared" si="2"/>
        <v>-10677.727879999991</v>
      </c>
      <c r="H49" s="39">
        <f t="shared" si="2"/>
        <v>-5462.5718399999969</v>
      </c>
      <c r="I49" s="39">
        <f t="shared" si="2"/>
        <v>-2103.4602799999993</v>
      </c>
      <c r="J49" s="39">
        <f t="shared" si="2"/>
        <v>-3694.3452399999951</v>
      </c>
      <c r="K49" s="39">
        <f t="shared" si="2"/>
        <v>-3010.9203999999954</v>
      </c>
      <c r="L49" s="39">
        <f t="shared" si="2"/>
        <v>-8096.9027199999982</v>
      </c>
      <c r="M49" s="39">
        <f t="shared" si="2"/>
        <v>-4268.2858399999968</v>
      </c>
      <c r="N49" s="39">
        <f t="shared" si="2"/>
        <v>-19939.926520000001</v>
      </c>
      <c r="O49" s="39">
        <f t="shared" si="2"/>
        <v>-10829.390480000002</v>
      </c>
      <c r="P49" s="47"/>
    </row>
    <row r="50" spans="2:16" ht="15" customHeight="1" x14ac:dyDescent="0.2">
      <c r="B50" s="45"/>
      <c r="P50" s="47"/>
    </row>
    <row r="51" spans="2:16" ht="15" customHeight="1" x14ac:dyDescent="0.2">
      <c r="B51" s="45"/>
      <c r="D51" s="74" t="str">
        <f>IF(AND(SUM(D36:O36)&gt;0,O35&gt;0),CONCATENATE("Zadaný podíl rezervovaného příkonu k 31.12. a maximálního naměřeného odebraného výkonu v roce je ",ROUND(O35/MAX(D36:O36),1)),"")</f>
        <v>Zadaný podíl rezervovaného příkonu k 31.12. a maximálního naměřeného odebraného výkonu v roce je 1,4</v>
      </c>
      <c r="E51" s="75"/>
      <c r="F51" s="75"/>
      <c r="G51" s="75"/>
      <c r="H51" s="75"/>
      <c r="I51" s="75"/>
      <c r="J51" s="75"/>
      <c r="K51" s="75"/>
      <c r="L51" s="75"/>
      <c r="M51" s="75"/>
      <c r="P51" s="47"/>
    </row>
    <row r="52" spans="2:16" ht="15" customHeight="1" x14ac:dyDescent="0.2">
      <c r="B52" s="45"/>
      <c r="D52" s="76" t="str">
        <f>IF(ISERROR(O35/MAX(D36:O36)),"",IF((O35/MAX(D36:O36))&gt;2.5,"Doporučujeme zvážit optimalizaci hodnoty rezervovaného příkonu pro snížení platby - více viz Manuál pro zákazníka na webu ERÚ",""))</f>
        <v/>
      </c>
      <c r="E52" s="77"/>
      <c r="F52" s="77"/>
      <c r="G52" s="77"/>
      <c r="H52" s="77"/>
      <c r="I52" s="77"/>
      <c r="J52" s="77"/>
      <c r="K52" s="77"/>
      <c r="L52" s="77"/>
      <c r="M52" s="77"/>
      <c r="P52" s="47"/>
    </row>
    <row r="53" spans="2:16" ht="15" customHeight="1" x14ac:dyDescent="0.2">
      <c r="B53" s="45"/>
      <c r="D53" s="78" t="str" cm="1">
        <f t="array" ref="D53">IF(OR(D52="",SUM($D$35:$O$35)&lt;&gt;12*MAX($D$35:$O$35)),"",CONCATENATE("Při snížení podílu na 2-násobek (na rezervovaný příkon ",2*MAX($D$36:$O$36)," MW) bude roční platba nižší o hodnotu ",TEXT($D$47-
_xlfn.LET(
_xlpm.key,CONCATENATE($D$6,$D$7),
_xlpm.RP_T1,VLOOKUP(_xlpm.key,Ceník!$A$20:$G$27,4,0),
_xlpm.RP_T2,VLOOKUP(_xlpm.key,Ceník!$A$20:$G$27,5,0),
_xlpm.NM_T1,VLOOKUP(_xlpm.key,Ceník!$A$20:$G$27,6,0),
_xlpm.NM_T2,VLOOKUP(_xlpm.key,Ceník!$A$20:$G$27,7,0),
_xlpm.PS,VLOOKUP(_xlpm.key,Ceník!$A$20:$H$27,8,0),
_xlpm.RP,IF($D$35:$O$35*(2*MAX(D36:O36))/O35*_xlpm.RP_T1+$D$36:$O$36*_xlpm.NM_T1&lt;$D$35:$O$35*(2*MAX(D36:O36))/O35*_xlpm.RP_T2+$D$36:$O$36*_xlpm.NM_T2,_xlpm.RP_T1,_xlpm.RP_T2),
_xlpm.NM,IF($D$35:$O$35*(2*MAX(D36:O36))/O35*_xlpm.RP_T1+$D$36:$O$36*_xlpm.NM_T1&lt;$D$35:$O$35*(2*MAX(D36:O36))/O35*_xlpm.RP_T2+$D$36:$O$36*_xlpm.NM_T2,_xlpm.NM_T1,_xlpm.NM_T2),
SUMPRODUCT(IF($D$36:$O$36&gt;0.6*$D$35:$O$35*(2*MAX(D36:O36))/O35,$D$36:$O$36,0.6*$D$35:$O$35*(2*MAX(D36:O36))/O35)*_xlpm.RP+$D$36:$O$36*_xlpm.NM+$D$11:$O$11*_xlpm.PS)
),"# ##")," Kč"))</f>
        <v/>
      </c>
      <c r="E53" s="78"/>
      <c r="F53" s="78"/>
      <c r="G53" s="78"/>
      <c r="H53" s="78"/>
      <c r="I53" s="78"/>
      <c r="J53" s="78"/>
      <c r="K53" s="78"/>
      <c r="L53" s="78"/>
      <c r="M53" s="78"/>
      <c r="P53" s="47"/>
    </row>
    <row r="54" spans="2:16" ht="15" customHeight="1" x14ac:dyDescent="0.2">
      <c r="B54" s="45"/>
      <c r="D54" s="78" t="str" cm="1">
        <f t="array" ref="D54">IF(OR(D52="",SUM($D$35:$O$35)&lt;&gt;12*MAX($D$35:$O$35)),"",CONCATENATE("Při snížení podílu na 1,5-násobek (na rezervovaný příkon ",1.5*MAX($D$36:$O$36)," MW) bude roční platba nižší o hodnotu ",TEXT($D$47-
_xlfn.LET(
_xlpm.key,CONCATENATE($D$6,$D$7),
_xlpm.RP_T1,VLOOKUP(_xlpm.key,Ceník!$A$20:$G$27,4,0),
_xlpm.RP_T2,VLOOKUP(_xlpm.key,Ceník!$A$20:$G$27,5,0),
_xlpm.NM_T1,VLOOKUP(_xlpm.key,Ceník!$A$20:$G$27,6,0),
_xlpm.NM_T2,VLOOKUP(_xlpm.key,Ceník!$A$20:$G$27,7,0),
_xlpm.PS,VLOOKUP(_xlpm.key,Ceník!$A$20:$H$27,8,0),
_xlpm.RP,IF($D$35:$O$35*(1.5*MAX(D36:O36))/O35*_xlpm.RP_T1+$D$36:$O$36*_xlpm.NM_T1&lt;$D$35:$O$35*(1.5*MAX(D36:O36))/O35*_xlpm.RP_T2+$D$36:$O$36*_xlpm.NM_T2,_xlpm.RP_T1,_xlpm.RP_T2),
_xlpm.NM,IF($D$35:$O$35*(1.5*MAX(D36:O36))/O35*_xlpm.RP_T1+$D$36:$O$36*_xlpm.NM_T1&lt;$D$35:$O$35*(1.5*MAX(D36:O36))/O35*_xlpm.RP_T2+$D$36:$O$36*_xlpm.NM_T2,_xlpm.NM_T1,_xlpm.NM_T2),
SUMPRODUCT(IF($D$36:$O$36&gt;0.6*$D$35:$O$35*(1.5*MAX(D36:O36))/O35,$D$36:$O$36,0.6*$D$35:$O$35*(1.5*MAX(D36:O36))/O35)*_xlpm.RP+$D$36:$O$36*_xlpm.NM+$D$11:$O$11*_xlpm.PS)
),"# ##")," Kč"))</f>
        <v/>
      </c>
      <c r="E54" s="78"/>
      <c r="F54" s="78"/>
      <c r="G54" s="78"/>
      <c r="H54" s="78"/>
      <c r="I54" s="78"/>
      <c r="J54" s="78"/>
      <c r="K54" s="78"/>
      <c r="L54" s="78"/>
      <c r="M54" s="78"/>
      <c r="P54" s="47"/>
    </row>
    <row r="55" spans="2:16" ht="15.75" thickBot="1" x14ac:dyDescent="0.3">
      <c r="B55" s="52"/>
      <c r="C55" s="59"/>
      <c r="D55" s="60"/>
      <c r="E55" s="60"/>
      <c r="F55" s="60"/>
      <c r="G55" s="60"/>
      <c r="H55" s="60"/>
      <c r="I55" s="60"/>
      <c r="J55" s="60"/>
      <c r="K55" s="60"/>
      <c r="L55" s="60"/>
      <c r="M55" s="60"/>
      <c r="N55" s="60"/>
      <c r="O55" s="60"/>
      <c r="P55" s="55"/>
    </row>
    <row r="56" spans="2:16" ht="15" x14ac:dyDescent="0.25">
      <c r="B56" s="42"/>
      <c r="C56" s="61"/>
      <c r="D56" s="57"/>
      <c r="E56" s="57"/>
      <c r="F56" s="57"/>
      <c r="G56" s="57"/>
      <c r="H56" s="57"/>
      <c r="I56" s="57"/>
      <c r="J56" s="57"/>
      <c r="K56" s="57"/>
      <c r="L56" s="57"/>
      <c r="M56" s="57"/>
      <c r="N56" s="57"/>
      <c r="O56" s="57"/>
      <c r="P56" s="44"/>
    </row>
    <row r="57" spans="2:16" ht="23.25" x14ac:dyDescent="0.35">
      <c r="B57" s="45"/>
      <c r="C57" s="65" t="s">
        <v>44</v>
      </c>
      <c r="D57" s="66"/>
      <c r="E57" s="66"/>
      <c r="F57" s="66"/>
      <c r="G57" s="66"/>
      <c r="H57"/>
      <c r="I57"/>
      <c r="J57"/>
      <c r="K57"/>
      <c r="L57"/>
      <c r="M57"/>
      <c r="N57"/>
      <c r="O57"/>
      <c r="P57" s="47"/>
    </row>
    <row r="58" spans="2:16" ht="6.75" customHeight="1" x14ac:dyDescent="0.35">
      <c r="B58" s="45"/>
      <c r="C58" s="46"/>
      <c r="D58" s="40"/>
      <c r="E58"/>
      <c r="F58"/>
      <c r="G58"/>
      <c r="H58"/>
      <c r="I58"/>
      <c r="J58"/>
      <c r="K58"/>
      <c r="L58"/>
      <c r="M58"/>
      <c r="N58"/>
      <c r="O58"/>
      <c r="P58" s="47"/>
    </row>
    <row r="59" spans="2:16" ht="24" customHeight="1" thickBot="1" x14ac:dyDescent="0.4">
      <c r="B59" s="45"/>
      <c r="C59" s="46"/>
      <c r="D59" s="41" t="s">
        <v>30</v>
      </c>
      <c r="E59"/>
      <c r="F59"/>
      <c r="G59"/>
      <c r="H59"/>
      <c r="I59"/>
      <c r="J59"/>
      <c r="K59"/>
      <c r="L59"/>
      <c r="M59"/>
      <c r="N59"/>
      <c r="O59"/>
      <c r="P59" s="47"/>
    </row>
    <row r="60" spans="2:16" ht="15" thickTop="1" x14ac:dyDescent="0.2">
      <c r="B60" s="45"/>
      <c r="C60" s="49" t="s">
        <v>45</v>
      </c>
      <c r="D60" s="34">
        <f>VLOOKUP(CONCATENATE($D$6,$D$7),Ceník!$A$20:$J$27,10,0)</f>
        <v>5555.18</v>
      </c>
      <c r="E60"/>
      <c r="F60"/>
      <c r="G60"/>
      <c r="H60"/>
      <c r="I60"/>
      <c r="J60"/>
      <c r="K60"/>
      <c r="L60"/>
      <c r="M60"/>
      <c r="N60"/>
      <c r="O60"/>
      <c r="P60" s="47"/>
    </row>
    <row r="61" spans="2:16" x14ac:dyDescent="0.2">
      <c r="B61" s="45"/>
      <c r="C61" s="49"/>
      <c r="D61"/>
      <c r="E61"/>
      <c r="F61"/>
      <c r="G61"/>
      <c r="H61"/>
      <c r="I61"/>
      <c r="J61"/>
      <c r="K61"/>
      <c r="L61"/>
      <c r="M61"/>
      <c r="N61"/>
      <c r="O61"/>
      <c r="P61" s="47"/>
    </row>
    <row r="62" spans="2:16" ht="16.5" x14ac:dyDescent="0.25">
      <c r="B62" s="45"/>
      <c r="C62" s="49"/>
      <c r="D62" s="35" t="s">
        <v>34</v>
      </c>
      <c r="E62"/>
      <c r="F62"/>
      <c r="G62"/>
      <c r="H62"/>
      <c r="I62"/>
      <c r="J62"/>
      <c r="K62"/>
      <c r="L62"/>
      <c r="M62"/>
      <c r="N62"/>
      <c r="O62"/>
      <c r="P62" s="47"/>
    </row>
    <row r="63" spans="2:16" ht="15.75" thickBot="1" x14ac:dyDescent="0.3">
      <c r="B63" s="45"/>
      <c r="C63" s="37" t="s">
        <v>36</v>
      </c>
      <c r="D63" s="38">
        <f>D60*D12</f>
        <v>5961424.7582200002</v>
      </c>
      <c r="E63" s="14" t="str">
        <f>CONCATENATE(" - vychází výhodněji než klasické ceny pro roční spotřebu nižší než ",ROUND(D47/D60,0)," MWh")</f>
        <v xml:space="preserve"> - vychází výhodněji než klasické ceny pro roční spotřebu nižší než 121 MWh</v>
      </c>
      <c r="F63"/>
      <c r="G63"/>
      <c r="H63"/>
      <c r="I63"/>
      <c r="J63"/>
      <c r="K63"/>
      <c r="L63"/>
      <c r="M63"/>
      <c r="N63"/>
      <c r="O63"/>
      <c r="P63" s="47"/>
    </row>
    <row r="64" spans="2:16" ht="15.75" thickTop="1" thickBot="1" x14ac:dyDescent="0.25">
      <c r="B64" s="52"/>
      <c r="C64" s="67"/>
      <c r="D64" s="68"/>
      <c r="E64" s="67"/>
      <c r="F64" s="67"/>
      <c r="G64" s="67"/>
      <c r="H64" s="67"/>
      <c r="I64" s="67"/>
      <c r="J64" s="67"/>
      <c r="K64" s="67"/>
      <c r="L64" s="67"/>
      <c r="M64" s="67"/>
      <c r="N64" s="67"/>
      <c r="O64" s="67"/>
      <c r="P64" s="55"/>
    </row>
  </sheetData>
  <mergeCells count="8">
    <mergeCell ref="D51:M51"/>
    <mergeCell ref="D52:M52"/>
    <mergeCell ref="D53:M53"/>
    <mergeCell ref="D54:M54"/>
    <mergeCell ref="F5:O5"/>
    <mergeCell ref="F6:O6"/>
    <mergeCell ref="F7:O7"/>
    <mergeCell ref="F8:O8"/>
  </mergeCells>
  <conditionalFormatting sqref="D51:M52 D53:D54">
    <cfRule type="cellIs" dxfId="1" priority="1" operator="notEqual">
      <formula>""</formula>
    </cfRule>
  </conditionalFormatting>
  <dataValidations count="6">
    <dataValidation type="decimal" operator="greaterThanOrEqual" allowBlank="1" showInputMessage="1" showErrorMessage="1" sqref="D22:D24 D60 D28:O28 E40:O41 D46:O46 D40:D42 D12" xr:uid="{AF1BE56E-2D16-4F60-84CA-3017FA11DC5D}">
      <formula1>0</formula1>
    </dataValidation>
    <dataValidation allowBlank="1" showInputMessage="1" showErrorMessage="1" prompt="Zde vyplňte odebrané množství elektřiny pro příslušný měsíc v MWh" sqref="D11:O11" xr:uid="{0A3E19F1-B72C-444D-A99F-2927A06577AE}"/>
    <dataValidation type="decimal" operator="greaterThanOrEqual" allowBlank="1" showInputMessage="1" showErrorMessage="1" prompt="Zde vyplňte hodnotu roční rezervované kapacity pro příslušný měsíc v MW" sqref="D18:O18" xr:uid="{0313B896-CADF-4124-A683-3CDEF83EB256}">
      <formula1>0</formula1>
    </dataValidation>
    <dataValidation type="decimal" operator="greaterThanOrEqual" allowBlank="1" showInputMessage="1" showErrorMessage="1" prompt="Zde vyplňte hodnotu měsíční rezervované kapacity pro příslušný měsíc v MW" sqref="D19:O19" xr:uid="{8D4BE0DF-E1C0-40F8-9002-113FF412945A}">
      <formula1>0</formula1>
    </dataValidation>
    <dataValidation type="decimal" operator="greaterThanOrEqual" allowBlank="1" showInputMessage="1" showErrorMessage="1" prompt="Zde vyplňte hodnotu rezervovaného příkonu dle smlouvy o připojení platné pro příslušný měsíc v MW" sqref="D35:O35" xr:uid="{5401861F-A026-455E-ADE9-6F05193F8F3C}">
      <formula1>0</formula1>
    </dataValidation>
    <dataValidation type="decimal" operator="greaterThanOrEqual" allowBlank="1" showInputMessage="1" showErrorMessage="1" prompt="Zde vyplňte hodnotu maximálního odebraného výkonu v příslušném měsíci v MW" sqref="D36:O36" xr:uid="{7D3F43A2-C20B-433B-ADC6-9E8072F4B82E}">
      <formula1>0</formula1>
    </dataValidation>
  </dataValidations>
  <pageMargins left="0.7" right="0.7" top="0.78740157499999996" bottom="0.78740157499999996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8" id="{B457DD97-73DE-4074-B302-4B9B43D3222D}">
            <xm:f>Pomocné!G3+Pomocné!G5</xm:f>
            <x14:dxf>
              <fill>
                <patternFill>
                  <bgColor theme="8" tint="0.59996337778862885"/>
                </patternFill>
              </fill>
            </x14:dxf>
          </x14:cfRule>
          <xm:sqref>D36:O36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prompt="Je nutné zvolit nadřazeného provozovatele distribuční soustavy ze seznamu" xr:uid="{6D81CBDB-B96F-4EA0-BA1C-B1AEAE05F4D3}">
          <x14:formula1>
            <xm:f>Pomocné!$B$3:$B$7</xm:f>
          </x14:formula1>
          <xm:sqref>D6</xm:sqref>
        </x14:dataValidation>
        <x14:dataValidation type="list" allowBlank="1" showInputMessage="1" showErrorMessage="1" prompt="Je nutné zvolit napěťovou hladinu ze seznamu" xr:uid="{D70F3FB7-92FB-4331-87D8-A74619B41C1B}">
          <x14:formula1>
            <xm:f>Pomocné!$D$3:$D$4</xm:f>
          </x14:formula1>
          <xm:sqref>D7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DB6C61-A1C1-4A8C-B392-DE6EC71FDE85}">
  <sheetPr codeName="List9"/>
  <dimension ref="A1:J29"/>
  <sheetViews>
    <sheetView topLeftCell="A3" zoomScale="80" zoomScaleNormal="80" workbookViewId="0"/>
  </sheetViews>
  <sheetFormatPr defaultRowHeight="14.25" x14ac:dyDescent="0.2"/>
  <cols>
    <col min="1" max="1" width="24.25" bestFit="1" customWidth="1"/>
    <col min="2" max="2" width="42.25" bestFit="1" customWidth="1"/>
    <col min="3" max="10" width="17.75" customWidth="1"/>
    <col min="14" max="257" width="8"/>
    <col min="258" max="258" width="35.75" customWidth="1"/>
    <col min="259" max="261" width="8"/>
    <col min="262" max="262" width="9.375" customWidth="1"/>
    <col min="263" max="513" width="8"/>
    <col min="514" max="514" width="35.75" customWidth="1"/>
    <col min="515" max="517" width="8"/>
    <col min="518" max="518" width="9.375" customWidth="1"/>
    <col min="519" max="769" width="8"/>
    <col min="770" max="770" width="35.75" customWidth="1"/>
    <col min="771" max="773" width="8"/>
    <col min="774" max="774" width="9.375" customWidth="1"/>
    <col min="1026" max="1026" width="35.75" customWidth="1"/>
    <col min="1027" max="1029" width="8"/>
    <col min="1030" max="1030" width="9.375" customWidth="1"/>
    <col min="1031" max="1281" width="8"/>
    <col min="1282" max="1282" width="35.75" customWidth="1"/>
    <col min="1283" max="1285" width="8"/>
    <col min="1286" max="1286" width="9.375" customWidth="1"/>
    <col min="1287" max="1537" width="8"/>
    <col min="1538" max="1538" width="35.75" customWidth="1"/>
    <col min="1539" max="1541" width="8"/>
    <col min="1542" max="1542" width="9.375" customWidth="1"/>
    <col min="1543" max="1793" width="8"/>
    <col min="1794" max="1794" width="35.75" customWidth="1"/>
    <col min="1795" max="1797" width="8"/>
    <col min="1798" max="1798" width="9.375" customWidth="1"/>
    <col min="2050" max="2050" width="35.75" customWidth="1"/>
    <col min="2051" max="2053" width="8"/>
    <col min="2054" max="2054" width="9.375" customWidth="1"/>
    <col min="2055" max="2305" width="8"/>
    <col min="2306" max="2306" width="35.75" customWidth="1"/>
    <col min="2307" max="2309" width="8"/>
    <col min="2310" max="2310" width="9.375" customWidth="1"/>
    <col min="2311" max="2561" width="8"/>
    <col min="2562" max="2562" width="35.75" customWidth="1"/>
    <col min="2563" max="2565" width="8"/>
    <col min="2566" max="2566" width="9.375" customWidth="1"/>
    <col min="2567" max="2817" width="8"/>
    <col min="2818" max="2818" width="35.75" customWidth="1"/>
    <col min="2819" max="2821" width="8"/>
    <col min="2822" max="2822" width="9.375" customWidth="1"/>
    <col min="3074" max="3074" width="35.75" customWidth="1"/>
    <col min="3075" max="3077" width="8"/>
    <col min="3078" max="3078" width="9.375" customWidth="1"/>
    <col min="3079" max="3329" width="8"/>
    <col min="3330" max="3330" width="35.75" customWidth="1"/>
    <col min="3331" max="3333" width="8"/>
    <col min="3334" max="3334" width="9.375" customWidth="1"/>
    <col min="3335" max="3585" width="8"/>
    <col min="3586" max="3586" width="35.75" customWidth="1"/>
    <col min="3587" max="3589" width="8"/>
    <col min="3590" max="3590" width="9.375" customWidth="1"/>
    <col min="3591" max="3841" width="8"/>
    <col min="3842" max="3842" width="35.75" customWidth="1"/>
    <col min="3843" max="3845" width="8"/>
    <col min="3846" max="3846" width="9.375" customWidth="1"/>
    <col min="4098" max="4098" width="35.75" customWidth="1"/>
    <col min="4099" max="4101" width="8"/>
    <col min="4102" max="4102" width="9.375" customWidth="1"/>
    <col min="4103" max="4353" width="8"/>
    <col min="4354" max="4354" width="35.75" customWidth="1"/>
    <col min="4355" max="4357" width="8"/>
    <col min="4358" max="4358" width="9.375" customWidth="1"/>
    <col min="4359" max="4609" width="8"/>
    <col min="4610" max="4610" width="35.75" customWidth="1"/>
    <col min="4611" max="4613" width="8"/>
    <col min="4614" max="4614" width="9.375" customWidth="1"/>
    <col min="4615" max="4865" width="8"/>
    <col min="4866" max="4866" width="35.75" customWidth="1"/>
    <col min="4867" max="4869" width="8"/>
    <col min="4870" max="4870" width="9.375" customWidth="1"/>
    <col min="5122" max="5122" width="35.75" customWidth="1"/>
    <col min="5123" max="5125" width="8"/>
    <col min="5126" max="5126" width="9.375" customWidth="1"/>
    <col min="5127" max="5377" width="8"/>
    <col min="5378" max="5378" width="35.75" customWidth="1"/>
    <col min="5379" max="5381" width="8"/>
    <col min="5382" max="5382" width="9.375" customWidth="1"/>
    <col min="5383" max="5633" width="8"/>
    <col min="5634" max="5634" width="35.75" customWidth="1"/>
    <col min="5635" max="5637" width="8"/>
    <col min="5638" max="5638" width="9.375" customWidth="1"/>
    <col min="5639" max="5889" width="8"/>
    <col min="5890" max="5890" width="35.75" customWidth="1"/>
    <col min="5891" max="5893" width="8"/>
    <col min="5894" max="5894" width="9.375" customWidth="1"/>
    <col min="6146" max="6146" width="35.75" customWidth="1"/>
    <col min="6147" max="6149" width="8"/>
    <col min="6150" max="6150" width="9.375" customWidth="1"/>
    <col min="6151" max="6401" width="8"/>
    <col min="6402" max="6402" width="35.75" customWidth="1"/>
    <col min="6403" max="6405" width="8"/>
    <col min="6406" max="6406" width="9.375" customWidth="1"/>
    <col min="6407" max="6657" width="8"/>
    <col min="6658" max="6658" width="35.75" customWidth="1"/>
    <col min="6659" max="6661" width="8"/>
    <col min="6662" max="6662" width="9.375" customWidth="1"/>
    <col min="6663" max="6913" width="8"/>
    <col min="6914" max="6914" width="35.75" customWidth="1"/>
    <col min="6915" max="6917" width="8"/>
    <col min="6918" max="6918" width="9.375" customWidth="1"/>
    <col min="7170" max="7170" width="35.75" customWidth="1"/>
    <col min="7171" max="7173" width="8"/>
    <col min="7174" max="7174" width="9.375" customWidth="1"/>
    <col min="7175" max="7425" width="8"/>
    <col min="7426" max="7426" width="35.75" customWidth="1"/>
    <col min="7427" max="7429" width="8"/>
    <col min="7430" max="7430" width="9.375" customWidth="1"/>
    <col min="7431" max="7681" width="8"/>
    <col min="7682" max="7682" width="35.75" customWidth="1"/>
    <col min="7683" max="7685" width="8"/>
    <col min="7686" max="7686" width="9.375" customWidth="1"/>
    <col min="7687" max="7937" width="8"/>
    <col min="7938" max="7938" width="35.75" customWidth="1"/>
    <col min="7939" max="7941" width="8"/>
    <col min="7942" max="7942" width="9.375" customWidth="1"/>
    <col min="8194" max="8194" width="35.75" customWidth="1"/>
    <col min="8195" max="8197" width="8"/>
    <col min="8198" max="8198" width="9.375" customWidth="1"/>
    <col min="8199" max="8449" width="8"/>
    <col min="8450" max="8450" width="35.75" customWidth="1"/>
    <col min="8451" max="8453" width="8"/>
    <col min="8454" max="8454" width="9.375" customWidth="1"/>
    <col min="8455" max="8705" width="8"/>
    <col min="8706" max="8706" width="35.75" customWidth="1"/>
    <col min="8707" max="8709" width="8"/>
    <col min="8710" max="8710" width="9.375" customWidth="1"/>
    <col min="8711" max="8961" width="8"/>
    <col min="8962" max="8962" width="35.75" customWidth="1"/>
    <col min="8963" max="8965" width="8"/>
    <col min="8966" max="8966" width="9.375" customWidth="1"/>
    <col min="9218" max="9218" width="35.75" customWidth="1"/>
    <col min="9219" max="9221" width="8"/>
    <col min="9222" max="9222" width="9.375" customWidth="1"/>
    <col min="9223" max="9473" width="8"/>
    <col min="9474" max="9474" width="35.75" customWidth="1"/>
    <col min="9475" max="9477" width="8"/>
    <col min="9478" max="9478" width="9.375" customWidth="1"/>
    <col min="9479" max="9729" width="8"/>
    <col min="9730" max="9730" width="35.75" customWidth="1"/>
    <col min="9731" max="9733" width="8"/>
    <col min="9734" max="9734" width="9.375" customWidth="1"/>
    <col min="9735" max="9985" width="8"/>
    <col min="9986" max="9986" width="35.75" customWidth="1"/>
    <col min="9987" max="9989" width="8"/>
    <col min="9990" max="9990" width="9.375" customWidth="1"/>
    <col min="10242" max="10242" width="35.75" customWidth="1"/>
    <col min="10243" max="10245" width="8"/>
    <col min="10246" max="10246" width="9.375" customWidth="1"/>
    <col min="10247" max="10497" width="8"/>
    <col min="10498" max="10498" width="35.75" customWidth="1"/>
    <col min="10499" max="10501" width="8"/>
    <col min="10502" max="10502" width="9.375" customWidth="1"/>
    <col min="10503" max="10753" width="8"/>
    <col min="10754" max="10754" width="35.75" customWidth="1"/>
    <col min="10755" max="10757" width="8"/>
    <col min="10758" max="10758" width="9.375" customWidth="1"/>
    <col min="10759" max="11009" width="8"/>
    <col min="11010" max="11010" width="35.75" customWidth="1"/>
    <col min="11011" max="11013" width="8"/>
    <col min="11014" max="11014" width="9.375" customWidth="1"/>
    <col min="11266" max="11266" width="35.75" customWidth="1"/>
    <col min="11267" max="11269" width="8"/>
    <col min="11270" max="11270" width="9.375" customWidth="1"/>
    <col min="11271" max="11521" width="8"/>
    <col min="11522" max="11522" width="35.75" customWidth="1"/>
    <col min="11523" max="11525" width="8"/>
    <col min="11526" max="11526" width="9.375" customWidth="1"/>
    <col min="11527" max="11777" width="8"/>
    <col min="11778" max="11778" width="35.75" customWidth="1"/>
    <col min="11779" max="11781" width="8"/>
    <col min="11782" max="11782" width="9.375" customWidth="1"/>
    <col min="11783" max="12033" width="8"/>
    <col min="12034" max="12034" width="35.75" customWidth="1"/>
    <col min="12035" max="12037" width="8"/>
    <col min="12038" max="12038" width="9.375" customWidth="1"/>
    <col min="12290" max="12290" width="35.75" customWidth="1"/>
    <col min="12291" max="12293" width="8"/>
    <col min="12294" max="12294" width="9.375" customWidth="1"/>
    <col min="12295" max="12545" width="8"/>
    <col min="12546" max="12546" width="35.75" customWidth="1"/>
    <col min="12547" max="12549" width="8"/>
    <col min="12550" max="12550" width="9.375" customWidth="1"/>
    <col min="12551" max="12801" width="8"/>
    <col min="12802" max="12802" width="35.75" customWidth="1"/>
    <col min="12803" max="12805" width="8"/>
    <col min="12806" max="12806" width="9.375" customWidth="1"/>
    <col min="12807" max="13057" width="8"/>
    <col min="13058" max="13058" width="35.75" customWidth="1"/>
    <col min="13059" max="13061" width="8"/>
    <col min="13062" max="13062" width="9.375" customWidth="1"/>
    <col min="13314" max="13314" width="35.75" customWidth="1"/>
    <col min="13315" max="13317" width="8"/>
    <col min="13318" max="13318" width="9.375" customWidth="1"/>
    <col min="13319" max="13569" width="8"/>
    <col min="13570" max="13570" width="35.75" customWidth="1"/>
    <col min="13571" max="13573" width="8"/>
    <col min="13574" max="13574" width="9.375" customWidth="1"/>
    <col min="13575" max="13825" width="8"/>
    <col min="13826" max="13826" width="35.75" customWidth="1"/>
    <col min="13827" max="13829" width="8"/>
    <col min="13830" max="13830" width="9.375" customWidth="1"/>
    <col min="13831" max="14081" width="8"/>
    <col min="14082" max="14082" width="35.75" customWidth="1"/>
    <col min="14083" max="14085" width="8"/>
    <col min="14086" max="14086" width="9.375" customWidth="1"/>
    <col min="14338" max="14338" width="35.75" customWidth="1"/>
    <col min="14339" max="14341" width="8"/>
    <col min="14342" max="14342" width="9.375" customWidth="1"/>
    <col min="14343" max="14593" width="8"/>
    <col min="14594" max="14594" width="35.75" customWidth="1"/>
    <col min="14595" max="14597" width="8"/>
    <col min="14598" max="14598" width="9.375" customWidth="1"/>
    <col min="14599" max="14849" width="8"/>
    <col min="14850" max="14850" width="35.75" customWidth="1"/>
    <col min="14851" max="14853" width="8"/>
    <col min="14854" max="14854" width="9.375" customWidth="1"/>
    <col min="14855" max="15105" width="8"/>
    <col min="15106" max="15106" width="35.75" customWidth="1"/>
    <col min="15107" max="15109" width="8"/>
    <col min="15110" max="15110" width="9.375" customWidth="1"/>
    <col min="15362" max="15362" width="35.75" customWidth="1"/>
    <col min="15363" max="15365" width="8"/>
    <col min="15366" max="15366" width="9.375" customWidth="1"/>
    <col min="15367" max="15617" width="8"/>
    <col min="15618" max="15618" width="35.75" customWidth="1"/>
    <col min="15619" max="15621" width="8"/>
    <col min="15622" max="15622" width="9.375" customWidth="1"/>
    <col min="15623" max="15873" width="8"/>
    <col min="15874" max="15874" width="35.75" customWidth="1"/>
    <col min="15875" max="15877" width="8"/>
    <col min="15878" max="15878" width="9.375" customWidth="1"/>
    <col min="15879" max="16129" width="8"/>
    <col min="16130" max="16130" width="35.75" customWidth="1"/>
    <col min="16131" max="16133" width="8"/>
    <col min="16134" max="16134" width="9.375" customWidth="1"/>
  </cols>
  <sheetData>
    <row r="1" spans="1:10" ht="18.75" x14ac:dyDescent="0.3">
      <c r="B1" s="11" t="s">
        <v>46</v>
      </c>
      <c r="C1" s="11"/>
    </row>
    <row r="2" spans="1:10" ht="15" thickBot="1" x14ac:dyDescent="0.25"/>
    <row r="3" spans="1:10" ht="72" thickTop="1" x14ac:dyDescent="0.2">
      <c r="B3" s="18" t="s">
        <v>47</v>
      </c>
      <c r="C3" s="19" t="s">
        <v>11</v>
      </c>
      <c r="D3" s="20" t="s">
        <v>48</v>
      </c>
      <c r="E3" s="21" t="s">
        <v>49</v>
      </c>
      <c r="F3" s="16" t="s">
        <v>50</v>
      </c>
      <c r="J3" s="13" t="s">
        <v>51</v>
      </c>
    </row>
    <row r="4" spans="1:10" x14ac:dyDescent="0.2">
      <c r="A4" s="15" t="str">
        <f>CONCATENATE(B4,C4)</f>
        <v>ČEZ Distribuce, a. s.VVN</v>
      </c>
      <c r="B4" s="22" t="s">
        <v>10</v>
      </c>
      <c r="C4" s="12" t="s">
        <v>52</v>
      </c>
      <c r="D4" s="28">
        <v>117432</v>
      </c>
      <c r="E4" s="29">
        <v>131036</v>
      </c>
      <c r="F4" s="17">
        <v>69.760000000000005</v>
      </c>
      <c r="J4" s="32">
        <v>2418.4</v>
      </c>
    </row>
    <row r="5" spans="1:10" x14ac:dyDescent="0.2">
      <c r="A5" s="15" t="str">
        <f t="shared" ref="A5:A13" si="0">CONCATENATE(B5,C5)</f>
        <v>ČEZ Distribuce, a. s.VN</v>
      </c>
      <c r="B5" s="22" t="s">
        <v>10</v>
      </c>
      <c r="C5" s="12" t="s">
        <v>12</v>
      </c>
      <c r="D5" s="28">
        <v>252565</v>
      </c>
      <c r="E5" s="29">
        <v>281823</v>
      </c>
      <c r="F5" s="17">
        <v>106.22</v>
      </c>
      <c r="J5" s="32">
        <v>5157.5200000000004</v>
      </c>
    </row>
    <row r="6" spans="1:10" x14ac:dyDescent="0.2">
      <c r="A6" s="15" t="str">
        <f t="shared" si="0"/>
        <v>EG.D, s.r.o.VVN</v>
      </c>
      <c r="B6" s="22" t="s">
        <v>53</v>
      </c>
      <c r="C6" s="12" t="s">
        <v>52</v>
      </c>
      <c r="D6" s="28">
        <v>110826</v>
      </c>
      <c r="E6" s="29">
        <v>122223</v>
      </c>
      <c r="F6" s="17">
        <v>65.62</v>
      </c>
      <c r="J6" s="32">
        <v>2282.14</v>
      </c>
    </row>
    <row r="7" spans="1:10" x14ac:dyDescent="0.2">
      <c r="A7" s="15" t="str">
        <f t="shared" si="0"/>
        <v>EG.D, s.r.o.VN</v>
      </c>
      <c r="B7" s="22" t="s">
        <v>53</v>
      </c>
      <c r="C7" s="12" t="s">
        <v>12</v>
      </c>
      <c r="D7" s="28">
        <v>230551</v>
      </c>
      <c r="E7" s="29">
        <v>254260</v>
      </c>
      <c r="F7" s="17">
        <v>98.61</v>
      </c>
      <c r="J7" s="32">
        <v>4709.63</v>
      </c>
    </row>
    <row r="8" spans="1:10" x14ac:dyDescent="0.2">
      <c r="A8" s="15" t="str">
        <f t="shared" si="0"/>
        <v>PREdistribuce, a.s.VVN</v>
      </c>
      <c r="B8" s="22" t="s">
        <v>54</v>
      </c>
      <c r="C8" s="12" t="s">
        <v>52</v>
      </c>
      <c r="D8" s="28">
        <v>129580</v>
      </c>
      <c r="E8" s="29">
        <v>143087</v>
      </c>
      <c r="F8" s="17">
        <v>64.52</v>
      </c>
      <c r="J8" s="32">
        <v>2656.12</v>
      </c>
    </row>
    <row r="9" spans="1:10" x14ac:dyDescent="0.2">
      <c r="A9" s="15" t="str">
        <f t="shared" si="0"/>
        <v>PREdistribuce, a.s.VN</v>
      </c>
      <c r="B9" s="22" t="s">
        <v>54</v>
      </c>
      <c r="C9" s="12" t="s">
        <v>12</v>
      </c>
      <c r="D9" s="28">
        <v>271093</v>
      </c>
      <c r="E9" s="29">
        <v>299351</v>
      </c>
      <c r="F9" s="17">
        <v>85.59</v>
      </c>
      <c r="J9" s="32">
        <v>5507.45</v>
      </c>
    </row>
    <row r="10" spans="1:10" x14ac:dyDescent="0.2">
      <c r="A10" s="15" t="str">
        <f t="shared" si="0"/>
        <v>UCED Chomutov s.r.o.VN</v>
      </c>
      <c r="B10" s="22" t="s">
        <v>55</v>
      </c>
      <c r="C10" s="12" t="s">
        <v>12</v>
      </c>
      <c r="D10" s="28">
        <v>266227</v>
      </c>
      <c r="E10" s="29">
        <v>295680</v>
      </c>
      <c r="F10" s="17">
        <v>79.63</v>
      </c>
      <c r="J10" s="32">
        <v>5404.17</v>
      </c>
    </row>
    <row r="11" spans="1:10" ht="15" thickBot="1" x14ac:dyDescent="0.25">
      <c r="A11" s="15" t="str">
        <f t="shared" si="0"/>
        <v>SV servisní, s.r.o.VN</v>
      </c>
      <c r="B11" s="23" t="s">
        <v>56</v>
      </c>
      <c r="C11" s="24" t="s">
        <v>12</v>
      </c>
      <c r="D11" s="30">
        <v>217605</v>
      </c>
      <c r="E11" s="31">
        <v>235013</v>
      </c>
      <c r="F11" s="17">
        <v>124.39</v>
      </c>
      <c r="J11" s="32">
        <v>4476.4900000000007</v>
      </c>
    </row>
    <row r="12" spans="1:10" ht="15" thickTop="1" x14ac:dyDescent="0.2">
      <c r="A12" s="15" t="str">
        <f t="shared" si="0"/>
        <v/>
      </c>
    </row>
    <row r="13" spans="1:10" x14ac:dyDescent="0.2">
      <c r="A13" s="15" t="str">
        <f t="shared" si="0"/>
        <v/>
      </c>
    </row>
    <row r="17" spans="1:10" ht="18.75" x14ac:dyDescent="0.3">
      <c r="B17" s="11" t="s">
        <v>57</v>
      </c>
    </row>
    <row r="18" spans="1:10" ht="15" thickBot="1" x14ac:dyDescent="0.25"/>
    <row r="19" spans="1:10" ht="72" customHeight="1" thickTop="1" x14ac:dyDescent="0.2">
      <c r="B19" s="18" t="s">
        <v>47</v>
      </c>
      <c r="C19" s="19" t="s">
        <v>11</v>
      </c>
      <c r="D19" s="20" t="s">
        <v>58</v>
      </c>
      <c r="E19" s="20" t="s">
        <v>59</v>
      </c>
      <c r="F19" s="20" t="s">
        <v>60</v>
      </c>
      <c r="G19" s="25" t="s">
        <v>61</v>
      </c>
      <c r="H19" s="16" t="s">
        <v>50</v>
      </c>
      <c r="J19" s="13" t="s">
        <v>51</v>
      </c>
    </row>
    <row r="20" spans="1:10" x14ac:dyDescent="0.2">
      <c r="A20" s="15" t="str">
        <f t="shared" ref="A20:A29" si="1">CONCATENATE(B20,C20)</f>
        <v>ČEZ Distribuce, a. s.VVN</v>
      </c>
      <c r="B20" s="22" t="s">
        <v>10</v>
      </c>
      <c r="C20" s="12" t="s">
        <v>52</v>
      </c>
      <c r="D20" s="28">
        <v>96862</v>
      </c>
      <c r="E20" s="28">
        <v>11586</v>
      </c>
      <c r="F20" s="28">
        <v>9686</v>
      </c>
      <c r="G20" s="29">
        <v>115862</v>
      </c>
      <c r="H20" s="17">
        <v>70.260000000000005</v>
      </c>
      <c r="J20" s="32">
        <v>2845.96</v>
      </c>
    </row>
    <row r="21" spans="1:10" x14ac:dyDescent="0.2">
      <c r="A21" s="15" t="str">
        <f t="shared" si="1"/>
        <v>ČEZ Distribuce, a. s.VN</v>
      </c>
      <c r="B21" s="22" t="s">
        <v>10</v>
      </c>
      <c r="C21" s="12" t="s">
        <v>12</v>
      </c>
      <c r="D21" s="28">
        <v>190133</v>
      </c>
      <c r="E21" s="28">
        <v>22743</v>
      </c>
      <c r="F21" s="28">
        <v>19013</v>
      </c>
      <c r="G21" s="29">
        <v>227429</v>
      </c>
      <c r="H21" s="17">
        <v>106.66</v>
      </c>
      <c r="J21" s="32">
        <v>5555.18</v>
      </c>
    </row>
    <row r="22" spans="1:10" x14ac:dyDescent="0.2">
      <c r="A22" s="15" t="str">
        <f t="shared" si="1"/>
        <v>EG.D, s.r.o.VVN</v>
      </c>
      <c r="B22" s="22" t="s">
        <v>53</v>
      </c>
      <c r="C22" s="12" t="s">
        <v>52</v>
      </c>
      <c r="D22" s="28">
        <v>87770</v>
      </c>
      <c r="E22" s="28">
        <v>10499</v>
      </c>
      <c r="F22" s="28">
        <v>8777</v>
      </c>
      <c r="G22" s="29">
        <v>104987</v>
      </c>
      <c r="H22" s="17">
        <v>64.8</v>
      </c>
      <c r="J22" s="32">
        <v>2579.98</v>
      </c>
    </row>
    <row r="23" spans="1:10" x14ac:dyDescent="0.2">
      <c r="A23" s="15" t="str">
        <f t="shared" si="1"/>
        <v>EG.D, s.r.o.VN</v>
      </c>
      <c r="B23" s="22" t="s">
        <v>53</v>
      </c>
      <c r="C23" s="12" t="s">
        <v>12</v>
      </c>
      <c r="D23" s="28">
        <v>181386</v>
      </c>
      <c r="E23" s="28">
        <v>21697</v>
      </c>
      <c r="F23" s="28">
        <v>18139</v>
      </c>
      <c r="G23" s="29">
        <v>216967</v>
      </c>
      <c r="H23" s="17">
        <v>97.96</v>
      </c>
      <c r="J23" s="32">
        <v>5295.85</v>
      </c>
    </row>
    <row r="24" spans="1:10" x14ac:dyDescent="0.2">
      <c r="A24" s="15" t="str">
        <f t="shared" si="1"/>
        <v>PREdistribuce, a.s.VVN</v>
      </c>
      <c r="B24" s="22" t="s">
        <v>54</v>
      </c>
      <c r="C24" s="12" t="s">
        <v>52</v>
      </c>
      <c r="D24" s="28">
        <v>109073</v>
      </c>
      <c r="E24" s="28">
        <v>13047</v>
      </c>
      <c r="F24" s="28">
        <v>10907</v>
      </c>
      <c r="G24" s="29">
        <v>130470</v>
      </c>
      <c r="H24" s="17">
        <v>63.54</v>
      </c>
      <c r="J24" s="32">
        <v>3189.21</v>
      </c>
    </row>
    <row r="25" spans="1:10" x14ac:dyDescent="0.2">
      <c r="A25" s="15" t="str">
        <f t="shared" si="1"/>
        <v>PREdistribuce, a.s.VN</v>
      </c>
      <c r="B25" s="22" t="s">
        <v>54</v>
      </c>
      <c r="C25" s="12" t="s">
        <v>12</v>
      </c>
      <c r="D25" s="28">
        <v>196298</v>
      </c>
      <c r="E25" s="28">
        <v>23480</v>
      </c>
      <c r="F25" s="28">
        <v>19630</v>
      </c>
      <c r="G25" s="29">
        <v>234804</v>
      </c>
      <c r="H25" s="17">
        <v>84.62</v>
      </c>
      <c r="J25" s="32">
        <v>5709.8</v>
      </c>
    </row>
    <row r="26" spans="1:10" x14ac:dyDescent="0.2">
      <c r="A26" s="15" t="str">
        <f t="shared" si="1"/>
        <v>UCED Chomutov s.r.o.VN</v>
      </c>
      <c r="B26" s="22" t="s">
        <v>55</v>
      </c>
      <c r="C26" s="12" t="s">
        <v>12</v>
      </c>
      <c r="D26" s="28">
        <v>255864</v>
      </c>
      <c r="E26" s="28">
        <v>30605</v>
      </c>
      <c r="F26" s="28">
        <v>25586</v>
      </c>
      <c r="G26" s="29">
        <v>306054</v>
      </c>
      <c r="H26" s="17">
        <v>98.044721624187275</v>
      </c>
      <c r="J26" s="32">
        <v>7430.16</v>
      </c>
    </row>
    <row r="27" spans="1:10" ht="15" thickBot="1" x14ac:dyDescent="0.25">
      <c r="A27" s="15" t="str">
        <f t="shared" si="1"/>
        <v>SV servisní, s.r.o.VN</v>
      </c>
      <c r="B27" s="23" t="s">
        <v>56</v>
      </c>
      <c r="C27" s="24" t="s">
        <v>12</v>
      </c>
      <c r="D27" s="30">
        <v>178312</v>
      </c>
      <c r="E27" s="30">
        <v>21329</v>
      </c>
      <c r="F27" s="30">
        <v>17831</v>
      </c>
      <c r="G27" s="31">
        <v>213290</v>
      </c>
      <c r="H27" s="17">
        <v>123.73</v>
      </c>
      <c r="J27" s="32">
        <v>5233.5200000000004</v>
      </c>
    </row>
    <row r="28" spans="1:10" ht="15" thickTop="1" x14ac:dyDescent="0.2">
      <c r="A28" s="15" t="str">
        <f t="shared" si="1"/>
        <v/>
      </c>
    </row>
    <row r="29" spans="1:10" x14ac:dyDescent="0.2">
      <c r="A29" s="15" t="str">
        <f t="shared" si="1"/>
        <v/>
      </c>
    </row>
  </sheetData>
  <sheetProtection algorithmName="SHA-512" hashValue="ZI/T6IPWj9OPFJ69n6BdvQg3cZ6kj22khRaDXf3/lndJ4Asd+AamkKwa/dSW/Ec2E701DVYUVfLDpdT1lfmW1A==" saltValue="NVe9v6NFqVAe7j6T0EBr7w==" spinCount="100000" sheet="1" objects="1" scenarios="1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61898E-640C-4DA5-AC7E-C03A558DA5E9}">
  <sheetPr codeName="List2"/>
  <dimension ref="B2:S18"/>
  <sheetViews>
    <sheetView zoomScale="85" zoomScaleNormal="85" workbookViewId="0"/>
  </sheetViews>
  <sheetFormatPr defaultRowHeight="14.25" x14ac:dyDescent="0.2"/>
  <cols>
    <col min="1" max="1" width="3.5" customWidth="1"/>
    <col min="2" max="2" width="19.625" customWidth="1"/>
    <col min="3" max="3" width="3.5" customWidth="1"/>
    <col min="4" max="4" width="16.625" bestFit="1" customWidth="1"/>
    <col min="5" max="5" width="3.5" customWidth="1"/>
    <col min="6" max="6" width="103.125" bestFit="1" customWidth="1"/>
  </cols>
  <sheetData>
    <row r="2" spans="2:19" ht="15" x14ac:dyDescent="0.25">
      <c r="B2" s="26" t="s">
        <v>9</v>
      </c>
      <c r="D2" s="26" t="s">
        <v>11</v>
      </c>
      <c r="F2" s="27" t="s">
        <v>62</v>
      </c>
      <c r="G2" t="s">
        <v>63</v>
      </c>
      <c r="H2" t="s">
        <v>64</v>
      </c>
      <c r="I2" t="s">
        <v>65</v>
      </c>
      <c r="J2" t="s">
        <v>66</v>
      </c>
      <c r="K2" t="s">
        <v>67</v>
      </c>
      <c r="L2" t="s">
        <v>68</v>
      </c>
      <c r="M2" t="s">
        <v>69</v>
      </c>
      <c r="N2" t="s">
        <v>70</v>
      </c>
      <c r="O2" t="s">
        <v>71</v>
      </c>
      <c r="P2" t="s">
        <v>72</v>
      </c>
      <c r="Q2" t="s">
        <v>73</v>
      </c>
      <c r="R2" t="s">
        <v>74</v>
      </c>
      <c r="S2" t="s">
        <v>75</v>
      </c>
    </row>
    <row r="3" spans="2:19" x14ac:dyDescent="0.2">
      <c r="B3" t="s">
        <v>10</v>
      </c>
      <c r="D3" t="s">
        <v>52</v>
      </c>
      <c r="F3" t="s">
        <v>76</v>
      </c>
      <c r="G3">
        <f>IF(AND(ISBLANK(Výpočet!D18),ISBLANK(Výpočet!D19)),0,IF(Výpočet!D36&gt;(Výpočet!D18+Výpočet!D19)*1.1,1,0))</f>
        <v>0</v>
      </c>
      <c r="H3">
        <f>IF(AND(ISBLANK(Výpočet!E18),ISBLANK(Výpočet!E19)),0,IF(Výpočet!E36&gt;(Výpočet!E18+Výpočet!E19)*1.1,1,0))</f>
        <v>0</v>
      </c>
      <c r="I3">
        <f>IF(AND(ISBLANK(Výpočet!F18),ISBLANK(Výpočet!F19)),0,IF(Výpočet!F36&gt;(Výpočet!F18+Výpočet!F19)*1.1,1,0))</f>
        <v>0</v>
      </c>
      <c r="J3">
        <f>IF(AND(ISBLANK(Výpočet!G18),ISBLANK(Výpočet!G19)),0,IF(Výpočet!G36&gt;(Výpočet!G18+Výpočet!G19)*1.1,1,0))</f>
        <v>0</v>
      </c>
      <c r="K3">
        <f>IF(AND(ISBLANK(Výpočet!H18),ISBLANK(Výpočet!H19)),0,IF(Výpočet!H36&gt;(Výpočet!H18+Výpočet!H19)*1.1,1,0))</f>
        <v>0</v>
      </c>
      <c r="L3">
        <f>IF(AND(ISBLANK(Výpočet!I18),ISBLANK(Výpočet!I19)),0,IF(Výpočet!I36&gt;(Výpočet!I18+Výpočet!I19)*1.1,1,0))</f>
        <v>0</v>
      </c>
      <c r="M3">
        <f>IF(AND(ISBLANK(Výpočet!J18),ISBLANK(Výpočet!J19)),0,IF(Výpočet!J36&gt;(Výpočet!J18+Výpočet!J19)*1.1,1,0))</f>
        <v>0</v>
      </c>
      <c r="N3">
        <f>IF(AND(ISBLANK(Výpočet!K18),ISBLANK(Výpočet!K19)),0,IF(Výpočet!K36&gt;(Výpočet!K18+Výpočet!K19)*1.1,1,0))</f>
        <v>0</v>
      </c>
      <c r="O3">
        <f>IF(AND(ISBLANK(Výpočet!L18),ISBLANK(Výpočet!L19)),0,IF(Výpočet!L36&gt;(Výpočet!L18+Výpočet!L19)*1.1,1,0))</f>
        <v>0</v>
      </c>
      <c r="P3">
        <f>IF(AND(ISBLANK(Výpočet!M18),ISBLANK(Výpočet!M19)),0,IF(Výpočet!M36&gt;(Výpočet!M18+Výpočet!M19)*1.1,1,0))</f>
        <v>0</v>
      </c>
      <c r="Q3">
        <f>IF(AND(ISBLANK(Výpočet!N18),ISBLANK(Výpočet!N19)),0,IF(Výpočet!N36&gt;(Výpočet!N18+Výpočet!N19)*1.1,1,0))</f>
        <v>0</v>
      </c>
      <c r="R3">
        <f>IF(AND(ISBLANK(Výpočet!O18),ISBLANK(Výpočet!O19)),0,IF(Výpočet!O36&gt;(Výpočet!O18+Výpočet!O19)*1.1,1,0))</f>
        <v>0</v>
      </c>
      <c r="S3">
        <f>MAX(G3:R3)</f>
        <v>0</v>
      </c>
    </row>
    <row r="4" spans="2:19" x14ac:dyDescent="0.2">
      <c r="B4" t="s">
        <v>53</v>
      </c>
      <c r="D4" t="s">
        <v>12</v>
      </c>
      <c r="F4" t="s">
        <v>77</v>
      </c>
      <c r="G4">
        <f>IF(ISBLANK(Výpočet!D35),0,IF((Výpočet!D18+Výpočet!D19)&gt;Výpočet!D35,1,0))</f>
        <v>0</v>
      </c>
      <c r="H4">
        <f>IF(ISBLANK(Výpočet!E35),0,IF((Výpočet!E18+Výpočet!E19)&gt;Výpočet!E35,1,0))</f>
        <v>0</v>
      </c>
      <c r="I4">
        <f>IF(ISBLANK(Výpočet!F35),0,IF((Výpočet!F18+Výpočet!F19)&gt;Výpočet!F35,1,0))</f>
        <v>0</v>
      </c>
      <c r="J4">
        <f>IF(ISBLANK(Výpočet!G35),0,IF((Výpočet!G18+Výpočet!G19)&gt;Výpočet!G35,1,0))</f>
        <v>0</v>
      </c>
      <c r="K4">
        <f>IF(ISBLANK(Výpočet!H35),0,IF((Výpočet!H18+Výpočet!H19)&gt;Výpočet!H35,1,0))</f>
        <v>0</v>
      </c>
      <c r="L4">
        <f>IF(ISBLANK(Výpočet!I35),0,IF((Výpočet!I18+Výpočet!I19)&gt;Výpočet!I35,1,0))</f>
        <v>0</v>
      </c>
      <c r="M4">
        <f>IF(ISBLANK(Výpočet!J35),0,IF((Výpočet!J18+Výpočet!J19)&gt;Výpočet!J35,1,0))</f>
        <v>0</v>
      </c>
      <c r="N4">
        <f>IF(ISBLANK(Výpočet!K35),0,IF((Výpočet!K18+Výpočet!K19)&gt;Výpočet!K35,1,0))</f>
        <v>0</v>
      </c>
      <c r="O4">
        <f>IF(ISBLANK(Výpočet!L35),0,IF((Výpočet!L18+Výpočet!L19)&gt;Výpočet!L35,1,0))</f>
        <v>0</v>
      </c>
      <c r="P4">
        <f>IF(ISBLANK(Výpočet!M35),0,IF((Výpočet!M18+Výpočet!M19)&gt;Výpočet!M35,1,0))</f>
        <v>0</v>
      </c>
      <c r="Q4">
        <f>IF(ISBLANK(Výpočet!N35),0,IF((Výpočet!N18+Výpočet!N19)&gt;Výpočet!N35,1,0))</f>
        <v>0</v>
      </c>
      <c r="R4">
        <f>IF(ISBLANK(Výpočet!O35),0,IF((Výpočet!O18+Výpočet!O19)&gt;Výpočet!O35,1,0))</f>
        <v>0</v>
      </c>
      <c r="S4">
        <f>MAX(G4:R4)</f>
        <v>0</v>
      </c>
    </row>
    <row r="5" spans="2:19" x14ac:dyDescent="0.2">
      <c r="B5" t="s">
        <v>54</v>
      </c>
      <c r="F5" t="s">
        <v>78</v>
      </c>
      <c r="G5">
        <f>IF(ISBLANK(Výpočet!D35),0,IF(Výpočet!D36&gt;Výpočet!D35,1,0))</f>
        <v>0</v>
      </c>
      <c r="H5">
        <f>IF(ISBLANK(Výpočet!E35),0,IF(Výpočet!E36&gt;Výpočet!E35,1,0))</f>
        <v>0</v>
      </c>
      <c r="I5">
        <f>IF(ISBLANK(Výpočet!F35),0,IF(Výpočet!F36&gt;Výpočet!F35,1,0))</f>
        <v>0</v>
      </c>
      <c r="J5">
        <f>IF(ISBLANK(Výpočet!G35),0,IF(Výpočet!G36&gt;Výpočet!G35,1,0))</f>
        <v>0</v>
      </c>
      <c r="K5">
        <f>IF(ISBLANK(Výpočet!H35),0,IF(Výpočet!H36&gt;Výpočet!H35,1,0))</f>
        <v>0</v>
      </c>
      <c r="L5">
        <f>IF(ISBLANK(Výpočet!I35),0,IF(Výpočet!I36&gt;Výpočet!I35,1,0))</f>
        <v>0</v>
      </c>
      <c r="M5">
        <f>IF(ISBLANK(Výpočet!J35),0,IF(Výpočet!J36&gt;Výpočet!J35,1,0))</f>
        <v>0</v>
      </c>
      <c r="N5">
        <f>IF(ISBLANK(Výpočet!K35),0,IF(Výpočet!K36&gt;Výpočet!K35,1,0))</f>
        <v>0</v>
      </c>
      <c r="O5">
        <f>IF(ISBLANK(Výpočet!L35),0,IF(Výpočet!L36&gt;Výpočet!L35,1,0))</f>
        <v>0</v>
      </c>
      <c r="P5">
        <f>IF(ISBLANK(Výpočet!M35),0,IF(Výpočet!M36&gt;Výpočet!M35,1,0))</f>
        <v>0</v>
      </c>
      <c r="Q5">
        <f>IF(ISBLANK(Výpočet!N35),0,IF(Výpočet!N36&gt;Výpočet!N35,1,0))</f>
        <v>0</v>
      </c>
      <c r="R5">
        <f>IF(ISBLANK(Výpočet!O35),0,IF(Výpočet!O36&gt;Výpočet!O35,1,0))</f>
        <v>0</v>
      </c>
      <c r="S5">
        <f>MAX(G5:R5)</f>
        <v>0</v>
      </c>
    </row>
    <row r="6" spans="2:19" x14ac:dyDescent="0.2">
      <c r="B6" t="s">
        <v>55</v>
      </c>
      <c r="F6" t="s">
        <v>79</v>
      </c>
      <c r="S6">
        <f>IF(ISERROR(IF(ISBLANK(Výpočet!D12),0,IF(Výpočet!D63&lt;Výpočet!D47,1,0))),0,IF(ISBLANK(Výpočet!D12),0,IF(Výpočet!D63&lt;Výpočet!D47,1,0)))</f>
        <v>0</v>
      </c>
    </row>
    <row r="7" spans="2:19" x14ac:dyDescent="0.2">
      <c r="B7" t="s">
        <v>56</v>
      </c>
    </row>
    <row r="8" spans="2:19" ht="15" x14ac:dyDescent="0.25">
      <c r="F8" s="27" t="s">
        <v>80</v>
      </c>
      <c r="G8">
        <f>MAX(S3:S6)</f>
        <v>0</v>
      </c>
    </row>
    <row r="9" spans="2:19" x14ac:dyDescent="0.2">
      <c r="F9" t="s">
        <v>81</v>
      </c>
    </row>
    <row r="10" spans="2:19" x14ac:dyDescent="0.2">
      <c r="F10" t="s">
        <v>82</v>
      </c>
    </row>
    <row r="11" spans="2:19" x14ac:dyDescent="0.2">
      <c r="F11" t="s">
        <v>83</v>
      </c>
    </row>
    <row r="12" spans="2:19" x14ac:dyDescent="0.2">
      <c r="F12" t="s">
        <v>84</v>
      </c>
    </row>
    <row r="13" spans="2:19" x14ac:dyDescent="0.2">
      <c r="F13" t="s">
        <v>85</v>
      </c>
    </row>
    <row r="16" spans="2:19" x14ac:dyDescent="0.2">
      <c r="F16" s="14"/>
    </row>
    <row r="17" spans="6:6" x14ac:dyDescent="0.2">
      <c r="F17" s="14"/>
    </row>
    <row r="18" spans="6:6" x14ac:dyDescent="0.2">
      <c r="F18" s="14"/>
    </row>
  </sheetData>
  <sheetProtection algorithmName="SHA-512" hashValue="FrRLFvhaut+Wp4JNasQbYWFJO3CO5iYrRQGhljx0EOIBDmqxmQdhV02Mn8oe9ejOYMab+/a06t5dm5oW0I1NBQ==" saltValue="mUw6J/HTxUwrAFujvlAleQ==" spinCount="100000" sheet="1" objects="1" scenarios="1"/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962653488A8FC242A64169106C6835EA" ma:contentTypeVersion="2" ma:contentTypeDescription="Vytvoří nový dokument" ma:contentTypeScope="" ma:versionID="5343ae94bd4b805bc477f1c8543df7b4">
  <xsd:schema xmlns:xsd="http://www.w3.org/2001/XMLSchema" xmlns:xs="http://www.w3.org/2001/XMLSchema" xmlns:p="http://schemas.microsoft.com/office/2006/metadata/properties" xmlns:ns2="f32210cd-666d-4d11-ab48-bfef9714ab3b" targetNamespace="http://schemas.microsoft.com/office/2006/metadata/properties" ma:root="true" ma:fieldsID="2546dc4a1fd471bfac57a8c4eb1d9b2b" ns2:_="">
    <xsd:import namespace="f32210cd-666d-4d11-ab48-bfef9714ab3b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32210cd-666d-4d11-ab48-bfef9714ab3b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B0C9F369-6CBA-4F6D-A433-F23A7DD56D0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32210cd-666d-4d11-ab48-bfef9714ab3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641EE84-1E5B-4CF9-8A0E-CB63C76847D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C9011C2-F3A7-40AE-8417-D9745A341C3C}">
  <ds:schemaRefs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f32210cd-666d-4d11-ab48-bfef9714ab3b"/>
    <ds:schemaRef ds:uri="http://purl.org/dc/terms/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4</vt:i4>
      </vt:variant>
    </vt:vector>
  </HeadingPairs>
  <TitlesOfParts>
    <vt:vector size="4" baseType="lpstr">
      <vt:lpstr>Informace</vt:lpstr>
      <vt:lpstr>Výpočet</vt:lpstr>
      <vt:lpstr>Ceník</vt:lpstr>
      <vt:lpstr>Pomocné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2022-08-23T15:28:26Z</dcterms:created>
  <dcterms:modified xsi:type="dcterms:W3CDTF">2026-05-22T11:51:44Z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0x010100962653488A8FC242A64169106C6835EA</vt:lpwstr>
  </property>
  <property fmtid="{D5CDD505-2E9C-101B-9397-08002B2CF9AE}" pid="3" name="MediaServiceImageTags">
    <vt:lpwstr/>
  </property>
</Properties>
</file>