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4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5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6.xml" ContentType="application/vnd.openxmlformats-officedocument.drawing+xml"/>
  <Override PartName="/xl/charts/chart37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5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26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7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\\FSP\Statistika\PLYN\Plyn statistika\Plyn - Mesic\2025\"/>
    </mc:Choice>
  </mc:AlternateContent>
  <xr:revisionPtr revIDLastSave="0" documentId="13_ncr:1_{DB3BE450-92AF-4234-8495-744DFE091205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tulní" sheetId="180" r:id="rId1"/>
    <sheet name="Obsah" sheetId="170" r:id="rId2"/>
    <sheet name="Úvod" sheetId="171" r:id="rId3"/>
    <sheet name="1" sheetId="172" r:id="rId4"/>
    <sheet name="2" sheetId="179" r:id="rId5"/>
    <sheet name="3.1" sheetId="105" r:id="rId6"/>
    <sheet name="3.2" sheetId="122" r:id="rId7"/>
    <sheet name="4.1" sheetId="146" r:id="rId8"/>
    <sheet name="4.2" sheetId="147" r:id="rId9"/>
    <sheet name="4.3" sheetId="145" r:id="rId10"/>
    <sheet name="5.1" sheetId="116" r:id="rId11"/>
    <sheet name="5.2" sheetId="165" r:id="rId12"/>
    <sheet name="5.3" sheetId="167" r:id="rId13"/>
    <sheet name="5.4" sheetId="166" r:id="rId14"/>
    <sheet name="5.5" sheetId="168" r:id="rId15"/>
    <sheet name="5.6" sheetId="126" r:id="rId16"/>
    <sheet name="5.7" sheetId="161" r:id="rId17"/>
    <sheet name="5.8" sheetId="162" r:id="rId18"/>
    <sheet name="5.9" sheetId="163" r:id="rId19"/>
    <sheet name="5.10" sheetId="133" r:id="rId20"/>
    <sheet name="6.1" sheetId="107" r:id="rId21"/>
    <sheet name="6.2" sheetId="108" r:id="rId22"/>
    <sheet name="6.3" sheetId="109" r:id="rId23"/>
    <sheet name="6.4" sheetId="110" r:id="rId24"/>
    <sheet name="6.5" sheetId="111" r:id="rId25"/>
    <sheet name="6.6" sheetId="112" r:id="rId26"/>
    <sheet name="6.7" sheetId="113" r:id="rId27"/>
    <sheet name="6.8" sheetId="120" r:id="rId28"/>
    <sheet name="6.9" sheetId="139" r:id="rId29"/>
    <sheet name="6.10" sheetId="140" r:id="rId30"/>
    <sheet name="6.11" sheetId="141" r:id="rId31"/>
    <sheet name="6.12" sheetId="128" r:id="rId32"/>
    <sheet name="7" sheetId="175" r:id="rId33"/>
    <sheet name="Obálka" sheetId="181" r:id="rId34"/>
  </sheets>
  <definedNames>
    <definedName name="Datum_OTE" localSheetId="33">"4. 8. 2022"</definedName>
    <definedName name="Datum_OTE">"2. 5. 2017"</definedName>
    <definedName name="_xlnm.Print_Area" localSheetId="4">'2'!$A$1:$I$49</definedName>
    <definedName name="_xlnm.Print_Area" localSheetId="0">Titulní!$A$1:$B$2</definedName>
    <definedName name="OLE_LINK42" localSheetId="4">'2'!$A$4</definedName>
    <definedName name="OLE_LINK42" localSheetId="2">Úvod!$A$4</definedName>
    <definedName name="OLE_LINK43" localSheetId="4">'2'!$A$4</definedName>
    <definedName name="OLE_LINK43" localSheetId="2">Úvod!$A$4</definedName>
    <definedName name="OLE_LINK6" localSheetId="4">'2'!#REF!</definedName>
    <definedName name="OLE_LINK6" localSheetId="2">Úvod!$A$7</definedName>
    <definedName name="OLE_LINK7" localSheetId="4">'2'!#REF!</definedName>
    <definedName name="OLE_LINK7" localSheetId="2">Úvod!$A$7</definedName>
  </definedNames>
  <calcPr calcId="191029"/>
</workbook>
</file>

<file path=xl/calcChain.xml><?xml version="1.0" encoding="utf-8"?>
<calcChain xmlns="http://schemas.openxmlformats.org/spreadsheetml/2006/main">
  <c r="H13" i="116" l="1"/>
  <c r="H20" i="147" l="1"/>
  <c r="K28" i="105" l="1"/>
  <c r="G28" i="105"/>
  <c r="K23" i="105"/>
  <c r="G23" i="105"/>
  <c r="K18" i="105"/>
  <c r="G18" i="105"/>
  <c r="H20" i="168" l="1"/>
  <c r="H44" i="111" l="1"/>
  <c r="N22" i="146" l="1"/>
  <c r="E25" i="179" s="1"/>
  <c r="B20" i="146"/>
  <c r="B21" i="146"/>
  <c r="K30" i="105" l="1"/>
  <c r="K54" i="105"/>
  <c r="K50" i="105"/>
  <c r="K49" i="105"/>
  <c r="K48" i="105"/>
  <c r="K47" i="105"/>
  <c r="K46" i="105"/>
  <c r="K45" i="105"/>
  <c r="K44" i="105"/>
  <c r="K43" i="105"/>
  <c r="K42" i="105"/>
  <c r="K41" i="105"/>
  <c r="K40" i="105"/>
  <c r="K39" i="105"/>
  <c r="K38" i="105"/>
  <c r="K37" i="105"/>
  <c r="K36" i="105"/>
  <c r="K35" i="105"/>
  <c r="K34" i="105"/>
  <c r="K33" i="105"/>
  <c r="K32" i="105"/>
  <c r="K31" i="105"/>
  <c r="K29" i="105"/>
  <c r="K27" i="105"/>
  <c r="K26" i="105"/>
  <c r="K25" i="105"/>
  <c r="K24" i="105"/>
  <c r="K22" i="105"/>
  <c r="K21" i="105"/>
  <c r="K20" i="105"/>
  <c r="K19" i="105"/>
  <c r="K17" i="105"/>
  <c r="K16" i="105"/>
  <c r="K15" i="105"/>
  <c r="K14" i="105"/>
  <c r="K13" i="105"/>
  <c r="K12" i="105"/>
  <c r="K11" i="105"/>
  <c r="K10" i="105"/>
  <c r="K9" i="105"/>
  <c r="K8" i="105"/>
  <c r="K7" i="105"/>
  <c r="K6" i="105"/>
  <c r="G30" i="105"/>
  <c r="G54" i="105"/>
  <c r="G50" i="105"/>
  <c r="G49" i="105"/>
  <c r="G48" i="105"/>
  <c r="G47" i="105"/>
  <c r="G46" i="105"/>
  <c r="G45" i="105"/>
  <c r="G44" i="105"/>
  <c r="G43" i="105"/>
  <c r="G42" i="105"/>
  <c r="G41" i="105"/>
  <c r="G40" i="105"/>
  <c r="G39" i="105"/>
  <c r="G38" i="105"/>
  <c r="G37" i="105"/>
  <c r="G36" i="105"/>
  <c r="G35" i="105"/>
  <c r="G34" i="105"/>
  <c r="G33" i="105"/>
  <c r="G32" i="105"/>
  <c r="G31" i="105"/>
  <c r="G29" i="105"/>
  <c r="G27" i="105"/>
  <c r="G26" i="105"/>
  <c r="G25" i="105"/>
  <c r="G24" i="105"/>
  <c r="G22" i="105"/>
  <c r="G21" i="105"/>
  <c r="G20" i="105"/>
  <c r="G19" i="105"/>
  <c r="G17" i="105"/>
  <c r="G16" i="105"/>
  <c r="G15" i="105"/>
  <c r="G14" i="105"/>
  <c r="G13" i="105"/>
  <c r="G12" i="105"/>
  <c r="G11" i="105"/>
  <c r="G10" i="105"/>
  <c r="G9" i="105"/>
  <c r="G8" i="105"/>
  <c r="G7" i="105"/>
  <c r="G6" i="105"/>
  <c r="I29" i="116" l="1"/>
  <c r="H25" i="168" l="1"/>
  <c r="B19" i="146"/>
  <c r="C19" i="146"/>
  <c r="B19" i="122" l="1"/>
  <c r="B18" i="122"/>
  <c r="G9" i="108" l="1"/>
  <c r="G10" i="108"/>
  <c r="G11" i="108"/>
  <c r="G12" i="108"/>
  <c r="G13" i="108"/>
  <c r="G15" i="108"/>
  <c r="G16" i="108"/>
  <c r="G17" i="108"/>
  <c r="G18" i="108"/>
  <c r="G19" i="108"/>
  <c r="G21" i="108"/>
  <c r="G22" i="108"/>
  <c r="G23" i="108"/>
  <c r="G24" i="108"/>
  <c r="G25" i="108"/>
  <c r="G14" i="108" l="1"/>
  <c r="G20" i="108"/>
  <c r="G26" i="108"/>
  <c r="K7" i="168" l="1"/>
  <c r="K8" i="168"/>
  <c r="K9" i="168"/>
  <c r="K10" i="168"/>
  <c r="K11" i="168"/>
  <c r="K12" i="168"/>
  <c r="I28" i="167"/>
  <c r="J28" i="167"/>
  <c r="I29" i="167"/>
  <c r="J29" i="167"/>
  <c r="I30" i="167"/>
  <c r="J30" i="167"/>
  <c r="I31" i="167"/>
  <c r="J31" i="167"/>
  <c r="I32" i="167"/>
  <c r="J32" i="167"/>
  <c r="I33" i="167"/>
  <c r="J33" i="167"/>
  <c r="K13" i="168" l="1"/>
  <c r="J34" i="167"/>
  <c r="I34" i="167"/>
  <c r="R44" i="128" l="1"/>
  <c r="R43" i="128"/>
  <c r="I19" i="146"/>
  <c r="G14" i="168" l="1"/>
  <c r="H14" i="168"/>
  <c r="G15" i="168"/>
  <c r="H15" i="168"/>
  <c r="G16" i="168"/>
  <c r="H16" i="168"/>
  <c r="G17" i="168"/>
  <c r="H17" i="168"/>
  <c r="G18" i="168"/>
  <c r="H18" i="168"/>
  <c r="G19" i="168"/>
  <c r="H19" i="168"/>
  <c r="G20" i="168" l="1"/>
  <c r="L19" i="146" l="1"/>
  <c r="L20" i="146"/>
  <c r="L21" i="146"/>
  <c r="L22" i="146"/>
  <c r="L23" i="146"/>
  <c r="L24" i="146"/>
  <c r="L25" i="146"/>
  <c r="J19" i="146"/>
  <c r="J20" i="146"/>
  <c r="J21" i="146"/>
  <c r="J22" i="146"/>
  <c r="J23" i="146"/>
  <c r="J24" i="146"/>
  <c r="J25" i="146"/>
  <c r="F19" i="146"/>
  <c r="F20" i="146"/>
  <c r="F21" i="146"/>
  <c r="F22" i="146"/>
  <c r="F23" i="146"/>
  <c r="F24" i="146"/>
  <c r="F25" i="146"/>
  <c r="C20" i="146"/>
  <c r="C21" i="146"/>
  <c r="C22" i="146"/>
  <c r="C23" i="146"/>
  <c r="C24" i="146"/>
  <c r="C25" i="146"/>
  <c r="B50" i="181" l="1"/>
  <c r="E23" i="146" l="1"/>
  <c r="G23" i="146" s="1"/>
  <c r="G9" i="107" l="1"/>
  <c r="R18" i="122" l="1"/>
  <c r="O19" i="122"/>
  <c r="L18" i="122"/>
  <c r="G18" i="122"/>
  <c r="D18" i="122"/>
  <c r="O20" i="146"/>
  <c r="K19" i="146"/>
  <c r="M25" i="146"/>
  <c r="M24" i="146"/>
  <c r="M23" i="146"/>
  <c r="M22" i="146"/>
  <c r="M21" i="146"/>
  <c r="M20" i="146"/>
  <c r="M19" i="146"/>
  <c r="H25" i="146"/>
  <c r="H24" i="146"/>
  <c r="H23" i="146"/>
  <c r="H22" i="146"/>
  <c r="H21" i="146"/>
  <c r="H20" i="146"/>
  <c r="H19" i="146"/>
  <c r="B23" i="146"/>
  <c r="T23" i="146"/>
  <c r="S23" i="146"/>
  <c r="T20" i="146"/>
  <c r="S20" i="146"/>
  <c r="T19" i="146"/>
  <c r="S19" i="146"/>
  <c r="K20" i="146"/>
  <c r="D20" i="146" l="1"/>
  <c r="T25" i="146"/>
  <c r="S25" i="146"/>
  <c r="Q25" i="146"/>
  <c r="P25" i="146"/>
  <c r="O25" i="146"/>
  <c r="N25" i="146"/>
  <c r="K25" i="146"/>
  <c r="I25" i="146"/>
  <c r="E25" i="146"/>
  <c r="G25" i="146" s="1"/>
  <c r="B25" i="146"/>
  <c r="D25" i="146" s="1"/>
  <c r="T24" i="146"/>
  <c r="S24" i="146"/>
  <c r="Q24" i="146"/>
  <c r="P24" i="146"/>
  <c r="O24" i="146"/>
  <c r="N24" i="146"/>
  <c r="K24" i="146"/>
  <c r="I24" i="146"/>
  <c r="E24" i="146"/>
  <c r="G24" i="146" s="1"/>
  <c r="B24" i="146"/>
  <c r="D24" i="146" s="1"/>
  <c r="Q23" i="146"/>
  <c r="P23" i="146"/>
  <c r="O23" i="146"/>
  <c r="N23" i="146"/>
  <c r="K23" i="146"/>
  <c r="I23" i="146"/>
  <c r="D23" i="146"/>
  <c r="T22" i="146"/>
  <c r="S22" i="146"/>
  <c r="Q22" i="146"/>
  <c r="E26" i="179" s="1"/>
  <c r="P22" i="146"/>
  <c r="O22" i="146"/>
  <c r="K22" i="146"/>
  <c r="H22" i="179" s="1"/>
  <c r="I22" i="146"/>
  <c r="H19" i="179" s="1"/>
  <c r="E22" i="146"/>
  <c r="E22" i="179" s="1"/>
  <c r="B22" i="146"/>
  <c r="E19" i="179" s="1"/>
  <c r="T21" i="146"/>
  <c r="S21" i="146"/>
  <c r="Q21" i="146"/>
  <c r="P21" i="146"/>
  <c r="O21" i="146"/>
  <c r="N21" i="146"/>
  <c r="K21" i="146"/>
  <c r="I21" i="146"/>
  <c r="E21" i="146"/>
  <c r="Q20" i="146"/>
  <c r="P20" i="146"/>
  <c r="N20" i="146"/>
  <c r="I20" i="146"/>
  <c r="E20" i="146"/>
  <c r="Q19" i="146"/>
  <c r="P19" i="146"/>
  <c r="O19" i="146"/>
  <c r="N19" i="146"/>
  <c r="E19" i="146"/>
  <c r="D19" i="146"/>
  <c r="G20" i="146" l="1"/>
  <c r="R19" i="146"/>
  <c r="G19" i="146"/>
  <c r="D22" i="146"/>
  <c r="E20" i="179" s="1"/>
  <c r="R22" i="146"/>
  <c r="E27" i="179" s="1"/>
  <c r="G22" i="146"/>
  <c r="E23" i="179" s="1"/>
  <c r="R23" i="146"/>
  <c r="R20" i="146"/>
  <c r="D21" i="146"/>
  <c r="R21" i="146"/>
  <c r="G21" i="146"/>
  <c r="R24" i="146"/>
  <c r="R25" i="146"/>
  <c r="A1" i="179" l="1"/>
  <c r="B4" i="126" l="1"/>
  <c r="B4" i="161"/>
  <c r="B4" i="162"/>
  <c r="B4" i="163"/>
  <c r="B4" i="141" l="1"/>
  <c r="B4" i="140"/>
  <c r="B4" i="139"/>
  <c r="B4" i="120"/>
  <c r="A3" i="141"/>
  <c r="A1" i="141" s="1"/>
  <c r="A3" i="120"/>
  <c r="A1" i="120" s="1"/>
  <c r="A3" i="140"/>
  <c r="A1" i="140" s="1"/>
  <c r="A3" i="139"/>
  <c r="A1" i="139" s="1"/>
  <c r="I19" i="147" l="1"/>
  <c r="A4" i="128"/>
  <c r="A30" i="128" s="1"/>
  <c r="D4" i="108" l="1"/>
  <c r="D34" i="108" s="1"/>
  <c r="I34" i="108" s="1"/>
  <c r="D4" i="109"/>
  <c r="D34" i="109" s="1"/>
  <c r="I34" i="109" s="1"/>
  <c r="D4" i="110"/>
  <c r="D34" i="110" s="1"/>
  <c r="I34" i="110" s="1"/>
  <c r="D4" i="111"/>
  <c r="D34" i="111" s="1"/>
  <c r="I34" i="111" s="1"/>
  <c r="D4" i="112"/>
  <c r="D34" i="112" s="1"/>
  <c r="I34" i="112" s="1"/>
  <c r="D4" i="113"/>
  <c r="D34" i="113" s="1"/>
  <c r="I34" i="113" s="1"/>
  <c r="D4" i="107"/>
  <c r="D34" i="107" s="1"/>
  <c r="I34" i="107" s="1"/>
  <c r="D3" i="167"/>
  <c r="I3" i="167" s="1"/>
  <c r="D3" i="166"/>
  <c r="I3" i="166" s="1"/>
  <c r="D3" i="168"/>
  <c r="I3" i="168" s="1"/>
  <c r="D3" i="165"/>
  <c r="I3" i="165" s="1"/>
  <c r="C41" i="167" l="1"/>
  <c r="I41" i="165"/>
  <c r="I41" i="167"/>
  <c r="C41" i="165"/>
  <c r="C41" i="168"/>
  <c r="I41" i="168"/>
  <c r="C41" i="166"/>
  <c r="I41" i="166"/>
  <c r="A3" i="133"/>
  <c r="D4" i="116"/>
  <c r="A3" i="145" l="1"/>
  <c r="A3" i="147"/>
  <c r="A4" i="146"/>
  <c r="B6" i="146" s="1"/>
  <c r="A3" i="122"/>
  <c r="E4" i="170" l="1"/>
  <c r="A4" i="170" l="1"/>
  <c r="B4" i="170"/>
  <c r="B22" i="122"/>
  <c r="B23" i="147" l="1"/>
  <c r="H23" i="147"/>
  <c r="H14" i="116" l="1"/>
  <c r="F23" i="120" s="1"/>
  <c r="E28" i="165" l="1"/>
  <c r="E29" i="165"/>
  <c r="E30" i="165"/>
  <c r="E31" i="165"/>
  <c r="E32" i="165"/>
  <c r="E33" i="165"/>
  <c r="E28" i="167"/>
  <c r="E29" i="167"/>
  <c r="E30" i="167"/>
  <c r="E31" i="167"/>
  <c r="E32" i="167"/>
  <c r="E33" i="167"/>
  <c r="E28" i="166"/>
  <c r="E29" i="166"/>
  <c r="E30" i="166"/>
  <c r="E31" i="166"/>
  <c r="E32" i="166"/>
  <c r="E33" i="166"/>
  <c r="E34" i="166" l="1"/>
  <c r="E34" i="165"/>
  <c r="E34" i="167"/>
  <c r="G40" i="145"/>
  <c r="G37" i="145"/>
  <c r="G21" i="107" l="1"/>
  <c r="H56" i="113" l="1"/>
  <c r="H16" i="179" l="1"/>
  <c r="H14" i="179"/>
  <c r="H13" i="179"/>
  <c r="H12" i="179"/>
  <c r="H10" i="179"/>
  <c r="H9" i="179"/>
  <c r="E16" i="179"/>
  <c r="E14" i="179"/>
  <c r="E13" i="179"/>
  <c r="E12" i="179"/>
  <c r="E10" i="179"/>
  <c r="E9" i="179"/>
  <c r="E36" i="170" l="1"/>
  <c r="E30" i="170"/>
  <c r="E29" i="170"/>
  <c r="E28" i="170"/>
  <c r="E27" i="170"/>
  <c r="E26" i="170"/>
  <c r="E25" i="170"/>
  <c r="E17" i="170"/>
  <c r="E16" i="170"/>
  <c r="E15" i="170"/>
  <c r="E14" i="170"/>
  <c r="E24" i="170"/>
  <c r="E13" i="170"/>
  <c r="E9" i="170"/>
  <c r="E6" i="170"/>
  <c r="A15" i="170" l="1"/>
  <c r="B15" i="170"/>
  <c r="B30" i="170"/>
  <c r="A30" i="170"/>
  <c r="A24" i="170"/>
  <c r="B24" i="170"/>
  <c r="B17" i="170"/>
  <c r="A17" i="170"/>
  <c r="A28" i="170"/>
  <c r="B28" i="170"/>
  <c r="B25" i="170"/>
  <c r="A25" i="170"/>
  <c r="B29" i="170"/>
  <c r="A29" i="170"/>
  <c r="B9" i="170"/>
  <c r="A9" i="170"/>
  <c r="A26" i="170"/>
  <c r="B26" i="170"/>
  <c r="B13" i="170"/>
  <c r="A13" i="170"/>
  <c r="B27" i="170"/>
  <c r="A27" i="170"/>
  <c r="B36" i="170"/>
  <c r="A36" i="170"/>
  <c r="B6" i="170"/>
  <c r="A6" i="170"/>
  <c r="A14" i="170"/>
  <c r="B14" i="170"/>
  <c r="B16" i="170"/>
  <c r="A16" i="170"/>
  <c r="R49" i="128"/>
  <c r="Q49" i="128"/>
  <c r="P49" i="128"/>
  <c r="O49" i="128"/>
  <c r="N49" i="128"/>
  <c r="M49" i="128"/>
  <c r="L49" i="128"/>
  <c r="K49" i="128"/>
  <c r="J49" i="128"/>
  <c r="I49" i="128"/>
  <c r="H49" i="128"/>
  <c r="G49" i="128"/>
  <c r="F49" i="128"/>
  <c r="E49" i="128"/>
  <c r="D49" i="128"/>
  <c r="C49" i="128"/>
  <c r="B49" i="128"/>
  <c r="R48" i="128"/>
  <c r="Q48" i="128"/>
  <c r="P48" i="128"/>
  <c r="O48" i="128"/>
  <c r="N48" i="128"/>
  <c r="M48" i="128"/>
  <c r="L48" i="128"/>
  <c r="K48" i="128"/>
  <c r="J48" i="128"/>
  <c r="I48" i="128"/>
  <c r="H48" i="128"/>
  <c r="G48" i="128"/>
  <c r="F48" i="128"/>
  <c r="E48" i="128"/>
  <c r="D48" i="128"/>
  <c r="C48" i="128"/>
  <c r="B48" i="128"/>
  <c r="R47" i="128"/>
  <c r="Q47" i="128"/>
  <c r="P47" i="128"/>
  <c r="O47" i="128"/>
  <c r="N47" i="128"/>
  <c r="M47" i="128"/>
  <c r="L47" i="128"/>
  <c r="K47" i="128"/>
  <c r="J47" i="128"/>
  <c r="I47" i="128"/>
  <c r="H47" i="128"/>
  <c r="G47" i="128"/>
  <c r="F47" i="128"/>
  <c r="E47" i="128"/>
  <c r="D47" i="128"/>
  <c r="C47" i="128"/>
  <c r="B47" i="128"/>
  <c r="R46" i="128"/>
  <c r="Q46" i="128"/>
  <c r="P46" i="128"/>
  <c r="O46" i="128"/>
  <c r="N46" i="128"/>
  <c r="M46" i="128"/>
  <c r="L46" i="128"/>
  <c r="K46" i="128"/>
  <c r="J46" i="128"/>
  <c r="I46" i="128"/>
  <c r="H46" i="128"/>
  <c r="G46" i="128"/>
  <c r="F46" i="128"/>
  <c r="E46" i="128"/>
  <c r="D46" i="128"/>
  <c r="C46" i="128"/>
  <c r="B46" i="128"/>
  <c r="R45" i="128"/>
  <c r="Q45" i="128"/>
  <c r="P45" i="128"/>
  <c r="O45" i="128"/>
  <c r="N45" i="128"/>
  <c r="M45" i="128"/>
  <c r="L45" i="128"/>
  <c r="K45" i="128"/>
  <c r="J45" i="128"/>
  <c r="I45" i="128"/>
  <c r="H45" i="128"/>
  <c r="G45" i="128"/>
  <c r="F45" i="128"/>
  <c r="E45" i="128"/>
  <c r="D45" i="128"/>
  <c r="C45" i="128"/>
  <c r="B45" i="128"/>
  <c r="Q44" i="128"/>
  <c r="P44" i="128"/>
  <c r="O44" i="128"/>
  <c r="N44" i="128"/>
  <c r="M44" i="128"/>
  <c r="L44" i="128"/>
  <c r="K44" i="128"/>
  <c r="J44" i="128"/>
  <c r="I44" i="128"/>
  <c r="H44" i="128"/>
  <c r="G44" i="128"/>
  <c r="F44" i="128"/>
  <c r="E44" i="128"/>
  <c r="D44" i="128"/>
  <c r="C44" i="128"/>
  <c r="B44" i="128"/>
  <c r="Q43" i="128"/>
  <c r="P43" i="128"/>
  <c r="O43" i="128"/>
  <c r="N43" i="128"/>
  <c r="M43" i="128"/>
  <c r="L43" i="128"/>
  <c r="K43" i="128"/>
  <c r="J43" i="128"/>
  <c r="I43" i="128"/>
  <c r="H43" i="128"/>
  <c r="G43" i="128"/>
  <c r="F43" i="128"/>
  <c r="E43" i="128"/>
  <c r="D43" i="128"/>
  <c r="C43" i="128"/>
  <c r="B43" i="128"/>
  <c r="E35" i="170" l="1"/>
  <c r="E22" i="170"/>
  <c r="E11" i="170"/>
  <c r="E10" i="170"/>
  <c r="E7" i="170"/>
  <c r="B7" i="170" l="1"/>
  <c r="A7" i="170"/>
  <c r="B35" i="170"/>
  <c r="A35" i="170"/>
  <c r="B10" i="170"/>
  <c r="A10" i="170"/>
  <c r="B22" i="170"/>
  <c r="A22" i="170"/>
  <c r="B11" i="170"/>
  <c r="A11" i="170"/>
  <c r="N30" i="146"/>
  <c r="O30" i="146"/>
  <c r="N31" i="146"/>
  <c r="O31" i="146"/>
  <c r="N32" i="146"/>
  <c r="O32" i="146"/>
  <c r="N33" i="146"/>
  <c r="O33" i="146"/>
  <c r="N34" i="146"/>
  <c r="O34" i="146"/>
  <c r="N35" i="146"/>
  <c r="O35" i="146"/>
  <c r="N36" i="146"/>
  <c r="O36" i="146"/>
  <c r="N37" i="146"/>
  <c r="O37" i="146"/>
  <c r="N38" i="146"/>
  <c r="O38" i="146"/>
  <c r="N39" i="146"/>
  <c r="O39" i="146"/>
  <c r="N40" i="146"/>
  <c r="O40" i="146"/>
  <c r="O29" i="146"/>
  <c r="N29" i="146"/>
  <c r="O28" i="146"/>
  <c r="N28" i="146"/>
  <c r="M30" i="146"/>
  <c r="M31" i="146"/>
  <c r="M32" i="146"/>
  <c r="M33" i="146"/>
  <c r="M34" i="146"/>
  <c r="M35" i="146"/>
  <c r="M36" i="146"/>
  <c r="M37" i="146"/>
  <c r="M38" i="146"/>
  <c r="M39" i="146"/>
  <c r="M40" i="146"/>
  <c r="M29" i="146"/>
  <c r="F30" i="146"/>
  <c r="F31" i="146"/>
  <c r="F32" i="146"/>
  <c r="F33" i="146"/>
  <c r="F34" i="146"/>
  <c r="F35" i="146"/>
  <c r="F36" i="146"/>
  <c r="F37" i="146"/>
  <c r="F38" i="146"/>
  <c r="F39" i="146"/>
  <c r="F40" i="146"/>
  <c r="F29" i="146"/>
  <c r="E30" i="146"/>
  <c r="E31" i="146"/>
  <c r="E32" i="146"/>
  <c r="E33" i="146"/>
  <c r="E34" i="146"/>
  <c r="E35" i="146"/>
  <c r="E36" i="146"/>
  <c r="E37" i="146"/>
  <c r="E38" i="146"/>
  <c r="E39" i="146"/>
  <c r="E40" i="146"/>
  <c r="E29" i="146"/>
  <c r="D40" i="146"/>
  <c r="D30" i="146"/>
  <c r="D31" i="146"/>
  <c r="D32" i="146"/>
  <c r="D33" i="146"/>
  <c r="D34" i="146"/>
  <c r="D35" i="146"/>
  <c r="D36" i="146"/>
  <c r="D37" i="146"/>
  <c r="D38" i="146"/>
  <c r="D39" i="146"/>
  <c r="D29" i="146"/>
  <c r="O31" i="122"/>
  <c r="N29" i="122"/>
  <c r="O29" i="122"/>
  <c r="N30" i="122"/>
  <c r="O30" i="122"/>
  <c r="N31" i="122"/>
  <c r="N32" i="122"/>
  <c r="O32" i="122"/>
  <c r="N33" i="122"/>
  <c r="O33" i="122"/>
  <c r="N34" i="122"/>
  <c r="O34" i="122"/>
  <c r="N35" i="122"/>
  <c r="O35" i="122"/>
  <c r="N36" i="122"/>
  <c r="O36" i="122"/>
  <c r="N37" i="122"/>
  <c r="O37" i="122"/>
  <c r="N38" i="122"/>
  <c r="O38" i="122"/>
  <c r="N39" i="122"/>
  <c r="O39" i="122"/>
  <c r="O28" i="122"/>
  <c r="N28" i="122"/>
  <c r="M29" i="122"/>
  <c r="M30" i="122"/>
  <c r="M31" i="122"/>
  <c r="M32" i="122"/>
  <c r="M33" i="122"/>
  <c r="M34" i="122"/>
  <c r="M35" i="122"/>
  <c r="M36" i="122"/>
  <c r="M37" i="122"/>
  <c r="M38" i="122"/>
  <c r="M39" i="122"/>
  <c r="M28" i="122"/>
  <c r="F29" i="122"/>
  <c r="F30" i="122"/>
  <c r="F31" i="122"/>
  <c r="F32" i="122"/>
  <c r="F33" i="122"/>
  <c r="F34" i="122"/>
  <c r="F35" i="122"/>
  <c r="F36" i="122"/>
  <c r="F37" i="122"/>
  <c r="F38" i="122"/>
  <c r="F39" i="122"/>
  <c r="F28" i="122"/>
  <c r="E29" i="122"/>
  <c r="E30" i="122"/>
  <c r="E31" i="122"/>
  <c r="E32" i="122"/>
  <c r="E33" i="122"/>
  <c r="E34" i="122"/>
  <c r="E35" i="122"/>
  <c r="E36" i="122"/>
  <c r="E37" i="122"/>
  <c r="E38" i="122"/>
  <c r="E39" i="122"/>
  <c r="E28" i="122"/>
  <c r="D38" i="122"/>
  <c r="D39" i="122"/>
  <c r="D29" i="122"/>
  <c r="D30" i="122"/>
  <c r="D31" i="122"/>
  <c r="D32" i="122"/>
  <c r="D33" i="122"/>
  <c r="D34" i="122"/>
  <c r="D35" i="122"/>
  <c r="D36" i="122"/>
  <c r="D37" i="122"/>
  <c r="D28" i="122"/>
  <c r="E23" i="170" l="1"/>
  <c r="E12" i="170"/>
  <c r="E8" i="170"/>
  <c r="E5" i="170"/>
  <c r="E3" i="170"/>
  <c r="B3" i="170" l="1"/>
  <c r="A3" i="170"/>
  <c r="B8" i="170"/>
  <c r="A8" i="170"/>
  <c r="A12" i="170"/>
  <c r="B12" i="170"/>
  <c r="B23" i="170"/>
  <c r="A23" i="170"/>
  <c r="B5" i="170"/>
  <c r="A5" i="170"/>
  <c r="A57" i="108"/>
  <c r="A57" i="109"/>
  <c r="A57" i="110"/>
  <c r="A57" i="111"/>
  <c r="A57" i="112"/>
  <c r="A57" i="113"/>
  <c r="A57" i="107"/>
  <c r="A51" i="108"/>
  <c r="A51" i="109"/>
  <c r="A51" i="110"/>
  <c r="A51" i="111"/>
  <c r="A51" i="112"/>
  <c r="A51" i="113"/>
  <c r="A51" i="107"/>
  <c r="A45" i="108"/>
  <c r="A45" i="109"/>
  <c r="A45" i="110"/>
  <c r="A45" i="111"/>
  <c r="A45" i="112"/>
  <c r="A45" i="113"/>
  <c r="A45" i="107"/>
  <c r="A39" i="108"/>
  <c r="A39" i="109"/>
  <c r="A39" i="110"/>
  <c r="A39" i="111"/>
  <c r="A39" i="112"/>
  <c r="A39" i="113"/>
  <c r="A39" i="107"/>
  <c r="A27" i="108"/>
  <c r="A27" i="109"/>
  <c r="A27" i="110"/>
  <c r="A27" i="111"/>
  <c r="A27" i="112"/>
  <c r="A27" i="113"/>
  <c r="A27" i="107"/>
  <c r="A21" i="108"/>
  <c r="A21" i="109"/>
  <c r="A21" i="110"/>
  <c r="A21" i="111"/>
  <c r="A21" i="112"/>
  <c r="A21" i="113"/>
  <c r="A21" i="107"/>
  <c r="A15" i="108"/>
  <c r="A15" i="109"/>
  <c r="A15" i="110"/>
  <c r="A15" i="111"/>
  <c r="A15" i="112"/>
  <c r="A15" i="113"/>
  <c r="A15" i="107"/>
  <c r="A9" i="108"/>
  <c r="A9" i="109"/>
  <c r="A9" i="110"/>
  <c r="A9" i="111"/>
  <c r="A9" i="112"/>
  <c r="A9" i="113"/>
  <c r="A9" i="107"/>
  <c r="C7" i="162"/>
  <c r="D7" i="162"/>
  <c r="C8" i="162"/>
  <c r="D8" i="162"/>
  <c r="C9" i="162"/>
  <c r="D9" i="162"/>
  <c r="C10" i="162"/>
  <c r="D10" i="162"/>
  <c r="B10" i="162"/>
  <c r="B9" i="162"/>
  <c r="B8" i="162"/>
  <c r="B7" i="162"/>
  <c r="C10" i="161"/>
  <c r="D10" i="161"/>
  <c r="B10" i="161"/>
  <c r="C9" i="161"/>
  <c r="D9" i="161"/>
  <c r="B9" i="161"/>
  <c r="C8" i="161"/>
  <c r="D8" i="161"/>
  <c r="B8" i="161"/>
  <c r="C7" i="161"/>
  <c r="D7" i="161"/>
  <c r="B7" i="161"/>
  <c r="E34" i="170" l="1"/>
  <c r="D11" i="161"/>
  <c r="E32" i="170"/>
  <c r="E33" i="170"/>
  <c r="E31" i="170"/>
  <c r="C10" i="126"/>
  <c r="D10" i="126"/>
  <c r="B10" i="126"/>
  <c r="C9" i="126"/>
  <c r="D9" i="126"/>
  <c r="B9" i="126"/>
  <c r="C8" i="126"/>
  <c r="D8" i="126"/>
  <c r="B8" i="126"/>
  <c r="C7" i="126"/>
  <c r="D7" i="126"/>
  <c r="B7" i="126"/>
  <c r="A3" i="163"/>
  <c r="A1" i="163" s="1"/>
  <c r="A3" i="162"/>
  <c r="A3" i="161"/>
  <c r="A3" i="126"/>
  <c r="D44" i="168"/>
  <c r="C44" i="168"/>
  <c r="D43" i="168"/>
  <c r="C43" i="168"/>
  <c r="D42" i="168"/>
  <c r="C42" i="168"/>
  <c r="J33" i="168"/>
  <c r="I33" i="168"/>
  <c r="F33" i="168"/>
  <c r="E33" i="168"/>
  <c r="J32" i="168"/>
  <c r="I32" i="168"/>
  <c r="F32" i="168"/>
  <c r="E32" i="168"/>
  <c r="D32" i="168"/>
  <c r="J31" i="168"/>
  <c r="I31" i="168"/>
  <c r="F31" i="168"/>
  <c r="E31" i="168"/>
  <c r="D31" i="168"/>
  <c r="J30" i="168"/>
  <c r="I30" i="168"/>
  <c r="F30" i="168"/>
  <c r="E30" i="168"/>
  <c r="D30" i="168"/>
  <c r="J29" i="168"/>
  <c r="I29" i="168"/>
  <c r="F29" i="168"/>
  <c r="E29" i="168"/>
  <c r="D29" i="168"/>
  <c r="J28" i="168"/>
  <c r="I28" i="168"/>
  <c r="F28" i="168"/>
  <c r="E28" i="168"/>
  <c r="D28" i="168"/>
  <c r="A28" i="168"/>
  <c r="A37" i="168" s="1"/>
  <c r="H27" i="168"/>
  <c r="F10" i="162" s="1"/>
  <c r="K26" i="168"/>
  <c r="H26" i="168"/>
  <c r="G26" i="168"/>
  <c r="K25" i="168"/>
  <c r="G25" i="168"/>
  <c r="K24" i="168"/>
  <c r="H24" i="168"/>
  <c r="G24" i="168"/>
  <c r="K23" i="168"/>
  <c r="H23" i="168"/>
  <c r="G23" i="168"/>
  <c r="K22" i="168"/>
  <c r="H22" i="168"/>
  <c r="G22" i="168"/>
  <c r="K21" i="168"/>
  <c r="H21" i="168"/>
  <c r="G21" i="168"/>
  <c r="A21" i="168"/>
  <c r="B44" i="168" s="1"/>
  <c r="F10" i="161"/>
  <c r="K19" i="168"/>
  <c r="K18" i="168"/>
  <c r="K17" i="168"/>
  <c r="K16" i="168"/>
  <c r="K15" i="168"/>
  <c r="K14" i="168"/>
  <c r="A14" i="168"/>
  <c r="H43" i="168" s="1"/>
  <c r="H13" i="168"/>
  <c r="F10" i="126" s="1"/>
  <c r="H12" i="168"/>
  <c r="G12" i="168"/>
  <c r="H11" i="168"/>
  <c r="G11" i="168"/>
  <c r="H10" i="168"/>
  <c r="G10" i="168"/>
  <c r="H9" i="168"/>
  <c r="G9" i="168"/>
  <c r="H8" i="168"/>
  <c r="G8" i="168"/>
  <c r="H7" i="168"/>
  <c r="G7" i="168"/>
  <c r="A7" i="168"/>
  <c r="B42" i="168" s="1"/>
  <c r="D44" i="167"/>
  <c r="C44" i="167"/>
  <c r="D43" i="167"/>
  <c r="C43" i="167"/>
  <c r="D42" i="167"/>
  <c r="C42" i="167"/>
  <c r="F33" i="167"/>
  <c r="F32" i="167"/>
  <c r="D32" i="167"/>
  <c r="F31" i="167"/>
  <c r="D31" i="167"/>
  <c r="F30" i="167"/>
  <c r="D30" i="167"/>
  <c r="F29" i="167"/>
  <c r="D29" i="167"/>
  <c r="F28" i="167"/>
  <c r="D28" i="167"/>
  <c r="A28" i="167"/>
  <c r="A37" i="167" s="1"/>
  <c r="H27" i="167"/>
  <c r="F8" i="162" s="1"/>
  <c r="K26" i="167"/>
  <c r="H26" i="167"/>
  <c r="G26" i="167"/>
  <c r="K25" i="167"/>
  <c r="H25" i="167"/>
  <c r="G25" i="167"/>
  <c r="K24" i="167"/>
  <c r="H24" i="167"/>
  <c r="G24" i="167"/>
  <c r="K23" i="167"/>
  <c r="H23" i="167"/>
  <c r="G23" i="167"/>
  <c r="K22" i="167"/>
  <c r="H22" i="167"/>
  <c r="G22" i="167"/>
  <c r="K21" i="167"/>
  <c r="H21" i="167"/>
  <c r="G21" i="167"/>
  <c r="A21" i="167"/>
  <c r="B44" i="167" s="1"/>
  <c r="H20" i="167"/>
  <c r="F8" i="161" s="1"/>
  <c r="K19" i="167"/>
  <c r="H19" i="167"/>
  <c r="G19" i="167"/>
  <c r="K18" i="167"/>
  <c r="H18" i="167"/>
  <c r="G18" i="167"/>
  <c r="K17" i="167"/>
  <c r="H17" i="167"/>
  <c r="G17" i="167"/>
  <c r="K16" i="167"/>
  <c r="H16" i="167"/>
  <c r="G16" i="167"/>
  <c r="K15" i="167"/>
  <c r="H15" i="167"/>
  <c r="G15" i="167"/>
  <c r="K14" i="167"/>
  <c r="H14" i="167"/>
  <c r="G14" i="167"/>
  <c r="A14" i="167"/>
  <c r="H43" i="167" s="1"/>
  <c r="H13" i="167"/>
  <c r="F8" i="126" s="1"/>
  <c r="K12" i="167"/>
  <c r="H12" i="167"/>
  <c r="G12" i="167"/>
  <c r="K11" i="167"/>
  <c r="H11" i="167"/>
  <c r="G11" i="167"/>
  <c r="K10" i="167"/>
  <c r="H10" i="167"/>
  <c r="G10" i="167"/>
  <c r="K9" i="167"/>
  <c r="H9" i="167"/>
  <c r="G9" i="167"/>
  <c r="K8" i="167"/>
  <c r="H8" i="167"/>
  <c r="G8" i="167"/>
  <c r="K7" i="167"/>
  <c r="H7" i="167"/>
  <c r="G7" i="167"/>
  <c r="A7" i="167"/>
  <c r="B42" i="167" s="1"/>
  <c r="D44" i="166"/>
  <c r="C44" i="166"/>
  <c r="D43" i="166"/>
  <c r="C43" i="166"/>
  <c r="D42" i="166"/>
  <c r="C42" i="166"/>
  <c r="J33" i="166"/>
  <c r="I33" i="166"/>
  <c r="F33" i="166"/>
  <c r="J32" i="166"/>
  <c r="I32" i="166"/>
  <c r="F32" i="166"/>
  <c r="D32" i="166"/>
  <c r="J31" i="166"/>
  <c r="I31" i="166"/>
  <c r="F31" i="166"/>
  <c r="D31" i="166"/>
  <c r="J30" i="166"/>
  <c r="I30" i="166"/>
  <c r="F30" i="166"/>
  <c r="D30" i="166"/>
  <c r="J29" i="166"/>
  <c r="I29" i="166"/>
  <c r="F29" i="166"/>
  <c r="D29" i="166"/>
  <c r="J28" i="166"/>
  <c r="I28" i="166"/>
  <c r="F28" i="166"/>
  <c r="D28" i="166"/>
  <c r="A28" i="166"/>
  <c r="A37" i="166" s="1"/>
  <c r="H27" i="166"/>
  <c r="F9" i="162" s="1"/>
  <c r="K26" i="166"/>
  <c r="H26" i="166"/>
  <c r="G26" i="166"/>
  <c r="K25" i="166"/>
  <c r="H25" i="166"/>
  <c r="G25" i="166"/>
  <c r="K24" i="166"/>
  <c r="H24" i="166"/>
  <c r="G24" i="166"/>
  <c r="K23" i="166"/>
  <c r="H23" i="166"/>
  <c r="G23" i="166"/>
  <c r="K22" i="166"/>
  <c r="H22" i="166"/>
  <c r="G22" i="166"/>
  <c r="K21" i="166"/>
  <c r="H21" i="166"/>
  <c r="G21" i="166"/>
  <c r="A21" i="166"/>
  <c r="B44" i="166" s="1"/>
  <c r="H20" i="166"/>
  <c r="F9" i="161" s="1"/>
  <c r="K19" i="166"/>
  <c r="H19" i="166"/>
  <c r="G19" i="166"/>
  <c r="K18" i="166"/>
  <c r="H18" i="166"/>
  <c r="G18" i="166"/>
  <c r="K17" i="166"/>
  <c r="H17" i="166"/>
  <c r="G17" i="166"/>
  <c r="K16" i="166"/>
  <c r="H16" i="166"/>
  <c r="G16" i="166"/>
  <c r="K15" i="166"/>
  <c r="H15" i="166"/>
  <c r="G15" i="166"/>
  <c r="K14" i="166"/>
  <c r="H14" i="166"/>
  <c r="G14" i="166"/>
  <c r="A14" i="166"/>
  <c r="H43" i="166" s="1"/>
  <c r="H13" i="166"/>
  <c r="F9" i="126" s="1"/>
  <c r="K12" i="166"/>
  <c r="H12" i="166"/>
  <c r="G12" i="166"/>
  <c r="K11" i="166"/>
  <c r="H11" i="166"/>
  <c r="G11" i="166"/>
  <c r="K10" i="166"/>
  <c r="H10" i="166"/>
  <c r="G10" i="166"/>
  <c r="K9" i="166"/>
  <c r="H9" i="166"/>
  <c r="G9" i="166"/>
  <c r="K8" i="166"/>
  <c r="H8" i="166"/>
  <c r="G8" i="166"/>
  <c r="K7" i="166"/>
  <c r="H7" i="166"/>
  <c r="G7" i="166"/>
  <c r="A7" i="166"/>
  <c r="B42" i="166" s="1"/>
  <c r="D44" i="165"/>
  <c r="C44" i="165"/>
  <c r="D43" i="165"/>
  <c r="C43" i="165"/>
  <c r="D42" i="165"/>
  <c r="C42" i="165"/>
  <c r="J33" i="165"/>
  <c r="I33" i="165"/>
  <c r="F33" i="165"/>
  <c r="J32" i="165"/>
  <c r="I32" i="165"/>
  <c r="F32" i="165"/>
  <c r="D32" i="165"/>
  <c r="J31" i="165"/>
  <c r="I31" i="165"/>
  <c r="F31" i="165"/>
  <c r="D31" i="165"/>
  <c r="J30" i="165"/>
  <c r="I30" i="165"/>
  <c r="F30" i="165"/>
  <c r="D30" i="165"/>
  <c r="J29" i="165"/>
  <c r="I29" i="165"/>
  <c r="F29" i="165"/>
  <c r="D29" i="165"/>
  <c r="J28" i="165"/>
  <c r="I28" i="165"/>
  <c r="F28" i="165"/>
  <c r="D28" i="165"/>
  <c r="A28" i="165"/>
  <c r="A37" i="165" s="1"/>
  <c r="H27" i="165"/>
  <c r="F7" i="162" s="1"/>
  <c r="K26" i="165"/>
  <c r="H26" i="165"/>
  <c r="G26" i="165"/>
  <c r="K25" i="165"/>
  <c r="H25" i="165"/>
  <c r="G25" i="165"/>
  <c r="K24" i="165"/>
  <c r="H24" i="165"/>
  <c r="G24" i="165"/>
  <c r="K23" i="165"/>
  <c r="H23" i="165"/>
  <c r="G23" i="165"/>
  <c r="K22" i="165"/>
  <c r="H22" i="165"/>
  <c r="G22" i="165"/>
  <c r="K21" i="165"/>
  <c r="H21" i="165"/>
  <c r="G21" i="165"/>
  <c r="A21" i="165"/>
  <c r="B44" i="165" s="1"/>
  <c r="H20" i="165"/>
  <c r="F7" i="161" s="1"/>
  <c r="K19" i="165"/>
  <c r="H19" i="165"/>
  <c r="G19" i="165"/>
  <c r="K18" i="165"/>
  <c r="H18" i="165"/>
  <c r="G18" i="165"/>
  <c r="K17" i="165"/>
  <c r="H17" i="165"/>
  <c r="G17" i="165"/>
  <c r="K16" i="165"/>
  <c r="H16" i="165"/>
  <c r="G16" i="165"/>
  <c r="K15" i="165"/>
  <c r="H15" i="165"/>
  <c r="G15" i="165"/>
  <c r="K14" i="165"/>
  <c r="H14" i="165"/>
  <c r="G14" i="165"/>
  <c r="A14" i="165"/>
  <c r="B43" i="165" s="1"/>
  <c r="H13" i="165"/>
  <c r="F7" i="126" s="1"/>
  <c r="K12" i="165"/>
  <c r="H12" i="165"/>
  <c r="G12" i="165"/>
  <c r="K11" i="165"/>
  <c r="H11" i="165"/>
  <c r="G11" i="165"/>
  <c r="K10" i="165"/>
  <c r="H10" i="165"/>
  <c r="G10" i="165"/>
  <c r="K9" i="165"/>
  <c r="H9" i="165"/>
  <c r="G9" i="165"/>
  <c r="K8" i="165"/>
  <c r="H8" i="165"/>
  <c r="G8" i="165"/>
  <c r="K7" i="165"/>
  <c r="H7" i="165"/>
  <c r="G7" i="165"/>
  <c r="A7" i="165"/>
  <c r="B42" i="165" s="1"/>
  <c r="A29" i="116"/>
  <c r="A22" i="116"/>
  <c r="A15" i="116"/>
  <c r="A8" i="116"/>
  <c r="H3" i="145"/>
  <c r="E3" i="145"/>
  <c r="B3" i="145"/>
  <c r="B41" i="145" s="1"/>
  <c r="A34" i="170" l="1"/>
  <c r="B34" i="170"/>
  <c r="A1" i="162"/>
  <c r="E20" i="170" s="1"/>
  <c r="B32" i="170"/>
  <c r="A32" i="170"/>
  <c r="A33" i="170"/>
  <c r="B33" i="170"/>
  <c r="A1" i="161"/>
  <c r="E19" i="170" s="1"/>
  <c r="A1" i="126"/>
  <c r="E18" i="170" s="1"/>
  <c r="A31" i="170"/>
  <c r="B31" i="170"/>
  <c r="C45" i="167"/>
  <c r="E21" i="170"/>
  <c r="H28" i="166"/>
  <c r="H32" i="166"/>
  <c r="H28" i="167"/>
  <c r="H32" i="167"/>
  <c r="H29" i="167"/>
  <c r="C11" i="126"/>
  <c r="E8" i="126" s="1"/>
  <c r="H32" i="165"/>
  <c r="H33" i="165"/>
  <c r="H28" i="168"/>
  <c r="B11" i="126"/>
  <c r="C45" i="166"/>
  <c r="D45" i="167"/>
  <c r="H30" i="166"/>
  <c r="D45" i="166"/>
  <c r="K20" i="168"/>
  <c r="K27" i="168"/>
  <c r="H30" i="168"/>
  <c r="C45" i="168"/>
  <c r="K20" i="165"/>
  <c r="C7" i="163"/>
  <c r="G13" i="166"/>
  <c r="G27" i="166"/>
  <c r="D34" i="166"/>
  <c r="B9" i="163" s="1"/>
  <c r="H29" i="168"/>
  <c r="D41" i="168"/>
  <c r="G37" i="168"/>
  <c r="D34" i="167"/>
  <c r="B8" i="163" s="1"/>
  <c r="I34" i="165"/>
  <c r="K20" i="166"/>
  <c r="K27" i="166"/>
  <c r="H31" i="166"/>
  <c r="H31" i="167"/>
  <c r="G13" i="168"/>
  <c r="G27" i="168"/>
  <c r="D34" i="168"/>
  <c r="B10" i="163" s="1"/>
  <c r="H32" i="168"/>
  <c r="D45" i="168"/>
  <c r="H31" i="165"/>
  <c r="H29" i="166"/>
  <c r="H30" i="167"/>
  <c r="J34" i="168"/>
  <c r="G37" i="165"/>
  <c r="D41" i="166"/>
  <c r="J41" i="165"/>
  <c r="D41" i="167"/>
  <c r="G37" i="166"/>
  <c r="H43" i="165"/>
  <c r="G37" i="167"/>
  <c r="H31" i="168"/>
  <c r="F34" i="168"/>
  <c r="D10" i="163" s="1"/>
  <c r="F34" i="166"/>
  <c r="D9" i="163" s="1"/>
  <c r="G20" i="166"/>
  <c r="J34" i="166"/>
  <c r="K13" i="166"/>
  <c r="K13" i="167"/>
  <c r="K20" i="167"/>
  <c r="K27" i="167"/>
  <c r="G13" i="167"/>
  <c r="G20" i="167"/>
  <c r="G27" i="167"/>
  <c r="F34" i="167"/>
  <c r="D8" i="163" s="1"/>
  <c r="K13" i="165"/>
  <c r="K27" i="165"/>
  <c r="G20" i="165"/>
  <c r="G27" i="165"/>
  <c r="H33" i="168"/>
  <c r="B43" i="168"/>
  <c r="E34" i="168"/>
  <c r="I34" i="168"/>
  <c r="K28" i="168" s="1"/>
  <c r="H42" i="168"/>
  <c r="H44" i="168"/>
  <c r="H33" i="167"/>
  <c r="B43" i="167"/>
  <c r="K32" i="167"/>
  <c r="H42" i="167"/>
  <c r="H44" i="167"/>
  <c r="H33" i="166"/>
  <c r="B43" i="166"/>
  <c r="I34" i="166"/>
  <c r="K31" i="166" s="1"/>
  <c r="H42" i="166"/>
  <c r="H44" i="166"/>
  <c r="H29" i="165"/>
  <c r="D45" i="165"/>
  <c r="H30" i="165"/>
  <c r="J34" i="165"/>
  <c r="G13" i="165"/>
  <c r="F34" i="165"/>
  <c r="C45" i="165"/>
  <c r="D34" i="165"/>
  <c r="H28" i="165"/>
  <c r="H42" i="165"/>
  <c r="H44" i="165"/>
  <c r="B21" i="170" l="1"/>
  <c r="A21" i="170"/>
  <c r="B19" i="170"/>
  <c r="A19" i="170"/>
  <c r="B20" i="170"/>
  <c r="A20" i="170"/>
  <c r="B18" i="170"/>
  <c r="A18" i="170"/>
  <c r="J41" i="166"/>
  <c r="D41" i="165"/>
  <c r="D7" i="163"/>
  <c r="B7" i="163"/>
  <c r="J43" i="165"/>
  <c r="K30" i="165"/>
  <c r="J41" i="168"/>
  <c r="G31" i="165"/>
  <c r="I44" i="165"/>
  <c r="E7" i="126"/>
  <c r="E10" i="126"/>
  <c r="E9" i="126"/>
  <c r="G30" i="165"/>
  <c r="G33" i="165"/>
  <c r="K32" i="165"/>
  <c r="I43" i="165"/>
  <c r="J42" i="165"/>
  <c r="G29" i="165"/>
  <c r="G32" i="165"/>
  <c r="G28" i="165"/>
  <c r="I42" i="165"/>
  <c r="K31" i="165"/>
  <c r="G29" i="166"/>
  <c r="C9" i="163"/>
  <c r="G31" i="167"/>
  <c r="C8" i="163"/>
  <c r="G33" i="168"/>
  <c r="C10" i="163"/>
  <c r="K28" i="165"/>
  <c r="H34" i="165"/>
  <c r="F7" i="163" s="1"/>
  <c r="H33" i="179" s="1"/>
  <c r="K29" i="165"/>
  <c r="J44" i="165"/>
  <c r="K33" i="165"/>
  <c r="J41" i="167"/>
  <c r="G30" i="168"/>
  <c r="K30" i="166"/>
  <c r="K32" i="166"/>
  <c r="G30" i="167"/>
  <c r="I44" i="168"/>
  <c r="I42" i="168"/>
  <c r="I43" i="168"/>
  <c r="H34" i="168"/>
  <c r="F10" i="163" s="1"/>
  <c r="H36" i="179" s="1"/>
  <c r="G32" i="168"/>
  <c r="K32" i="168"/>
  <c r="K29" i="168"/>
  <c r="K30" i="168"/>
  <c r="G31" i="168"/>
  <c r="G28" i="168"/>
  <c r="G29" i="168"/>
  <c r="J44" i="168"/>
  <c r="J42" i="168"/>
  <c r="J43" i="168"/>
  <c r="K33" i="168"/>
  <c r="K31" i="168"/>
  <c r="I44" i="167"/>
  <c r="I42" i="167"/>
  <c r="I43" i="167"/>
  <c r="H34" i="167"/>
  <c r="F8" i="163" s="1"/>
  <c r="H34" i="179" s="1"/>
  <c r="G32" i="167"/>
  <c r="K29" i="167"/>
  <c r="K28" i="167"/>
  <c r="K33" i="167"/>
  <c r="G28" i="167"/>
  <c r="G29" i="167"/>
  <c r="J44" i="167"/>
  <c r="J42" i="167"/>
  <c r="J43" i="167"/>
  <c r="G33" i="167"/>
  <c r="K30" i="167"/>
  <c r="K31" i="167"/>
  <c r="G32" i="166"/>
  <c r="I44" i="166"/>
  <c r="I42" i="166"/>
  <c r="I43" i="166"/>
  <c r="H34" i="166"/>
  <c r="F9" i="163" s="1"/>
  <c r="H35" i="179" s="1"/>
  <c r="G33" i="166"/>
  <c r="G28" i="166"/>
  <c r="K28" i="166"/>
  <c r="G30" i="166"/>
  <c r="J44" i="166"/>
  <c r="J42" i="166"/>
  <c r="J43" i="166"/>
  <c r="K33" i="166"/>
  <c r="G31" i="166"/>
  <c r="K29" i="166"/>
  <c r="G10" i="107"/>
  <c r="G11" i="107"/>
  <c r="G12" i="107"/>
  <c r="G13" i="107"/>
  <c r="G15" i="107"/>
  <c r="G16" i="107"/>
  <c r="G17" i="107"/>
  <c r="G18" i="107"/>
  <c r="G19" i="107"/>
  <c r="G22" i="107"/>
  <c r="G23" i="107"/>
  <c r="G24" i="107"/>
  <c r="G25" i="107"/>
  <c r="G20" i="107" l="1"/>
  <c r="G14" i="107"/>
  <c r="G26" i="107"/>
  <c r="I45" i="165"/>
  <c r="J45" i="165"/>
  <c r="E11" i="126"/>
  <c r="G34" i="165"/>
  <c r="K34" i="165"/>
  <c r="I45" i="167"/>
  <c r="J45" i="167"/>
  <c r="G34" i="166"/>
  <c r="K34" i="168"/>
  <c r="J45" i="168"/>
  <c r="G34" i="168"/>
  <c r="I45" i="168"/>
  <c r="I45" i="166"/>
  <c r="J45" i="166"/>
  <c r="K34" i="166"/>
  <c r="K34" i="167"/>
  <c r="G34" i="167"/>
  <c r="K55" i="113"/>
  <c r="K54" i="113"/>
  <c r="K53" i="113"/>
  <c r="K52" i="113"/>
  <c r="K51" i="113"/>
  <c r="K49" i="113"/>
  <c r="K48" i="113"/>
  <c r="K47" i="113"/>
  <c r="K46" i="113"/>
  <c r="K45" i="113"/>
  <c r="K43" i="113"/>
  <c r="K42" i="113"/>
  <c r="K41" i="113"/>
  <c r="K40" i="113"/>
  <c r="K39" i="113"/>
  <c r="K55" i="112"/>
  <c r="K54" i="112"/>
  <c r="K53" i="112"/>
  <c r="K52" i="112"/>
  <c r="K51" i="112"/>
  <c r="K49" i="112"/>
  <c r="K48" i="112"/>
  <c r="K47" i="112"/>
  <c r="K46" i="112"/>
  <c r="K45" i="112"/>
  <c r="K43" i="112"/>
  <c r="K42" i="112"/>
  <c r="K41" i="112"/>
  <c r="K40" i="112"/>
  <c r="K39" i="112"/>
  <c r="K55" i="111"/>
  <c r="K54" i="111"/>
  <c r="K53" i="111"/>
  <c r="K52" i="111"/>
  <c r="K51" i="111"/>
  <c r="K49" i="111"/>
  <c r="K48" i="111"/>
  <c r="K47" i="111"/>
  <c r="K46" i="111"/>
  <c r="K45" i="111"/>
  <c r="K43" i="111"/>
  <c r="K42" i="111"/>
  <c r="K41" i="111"/>
  <c r="K40" i="111"/>
  <c r="K39" i="111"/>
  <c r="K55" i="110"/>
  <c r="K54" i="110"/>
  <c r="K53" i="110"/>
  <c r="K52" i="110"/>
  <c r="K51" i="110"/>
  <c r="K49" i="110"/>
  <c r="K48" i="110"/>
  <c r="K47" i="110"/>
  <c r="K46" i="110"/>
  <c r="K45" i="110"/>
  <c r="K43" i="110"/>
  <c r="K42" i="110"/>
  <c r="K41" i="110"/>
  <c r="K40" i="110"/>
  <c r="K39" i="110"/>
  <c r="K55" i="109"/>
  <c r="K54" i="109"/>
  <c r="K53" i="109"/>
  <c r="K52" i="109"/>
  <c r="K51" i="109"/>
  <c r="K49" i="109"/>
  <c r="K48" i="109"/>
  <c r="K47" i="109"/>
  <c r="K46" i="109"/>
  <c r="K45" i="109"/>
  <c r="K43" i="109"/>
  <c r="K42" i="109"/>
  <c r="K41" i="109"/>
  <c r="K40" i="109"/>
  <c r="K39" i="109"/>
  <c r="K55" i="108"/>
  <c r="K54" i="108"/>
  <c r="K53" i="108"/>
  <c r="K52" i="108"/>
  <c r="K51" i="108"/>
  <c r="K49" i="108"/>
  <c r="K48" i="108"/>
  <c r="K47" i="108"/>
  <c r="K46" i="108"/>
  <c r="K45" i="108"/>
  <c r="K43" i="108"/>
  <c r="K42" i="108"/>
  <c r="K41" i="108"/>
  <c r="K40" i="108"/>
  <c r="K39" i="108"/>
  <c r="K25" i="113"/>
  <c r="K24" i="113"/>
  <c r="K23" i="113"/>
  <c r="K22" i="113"/>
  <c r="K21" i="113"/>
  <c r="K19" i="113"/>
  <c r="K18" i="113"/>
  <c r="K17" i="113"/>
  <c r="K16" i="113"/>
  <c r="K15" i="113"/>
  <c r="K13" i="113"/>
  <c r="K12" i="113"/>
  <c r="K11" i="113"/>
  <c r="K10" i="113"/>
  <c r="K9" i="113"/>
  <c r="K25" i="112"/>
  <c r="K24" i="112"/>
  <c r="K23" i="112"/>
  <c r="K22" i="112"/>
  <c r="K21" i="112"/>
  <c r="K19" i="112"/>
  <c r="K18" i="112"/>
  <c r="K17" i="112"/>
  <c r="K16" i="112"/>
  <c r="K15" i="112"/>
  <c r="K13" i="112"/>
  <c r="K12" i="112"/>
  <c r="K11" i="112"/>
  <c r="K10" i="112"/>
  <c r="K9" i="112"/>
  <c r="K25" i="111"/>
  <c r="K24" i="111"/>
  <c r="K23" i="111"/>
  <c r="K22" i="111"/>
  <c r="K21" i="111"/>
  <c r="K19" i="111"/>
  <c r="K18" i="111"/>
  <c r="K17" i="111"/>
  <c r="K16" i="111"/>
  <c r="K15" i="111"/>
  <c r="K13" i="111"/>
  <c r="K12" i="111"/>
  <c r="K11" i="111"/>
  <c r="K10" i="111"/>
  <c r="K9" i="111"/>
  <c r="K25" i="110"/>
  <c r="K24" i="110"/>
  <c r="K23" i="110"/>
  <c r="K22" i="110"/>
  <c r="K21" i="110"/>
  <c r="K19" i="110"/>
  <c r="K18" i="110"/>
  <c r="K17" i="110"/>
  <c r="K16" i="110"/>
  <c r="K15" i="110"/>
  <c r="K13" i="110"/>
  <c r="K12" i="110"/>
  <c r="K11" i="110"/>
  <c r="K10" i="110"/>
  <c r="K9" i="110"/>
  <c r="K25" i="109"/>
  <c r="K24" i="109"/>
  <c r="K23" i="109"/>
  <c r="K22" i="109"/>
  <c r="K21" i="109"/>
  <c r="K19" i="109"/>
  <c r="K18" i="109"/>
  <c r="K17" i="109"/>
  <c r="K16" i="109"/>
  <c r="K15" i="109"/>
  <c r="K13" i="109"/>
  <c r="K12" i="109"/>
  <c r="K11" i="109"/>
  <c r="K10" i="109"/>
  <c r="K9" i="109"/>
  <c r="K25" i="108"/>
  <c r="K24" i="108"/>
  <c r="K23" i="108"/>
  <c r="K22" i="108"/>
  <c r="K21" i="108"/>
  <c r="K19" i="108"/>
  <c r="K18" i="108"/>
  <c r="K17" i="108"/>
  <c r="K16" i="108"/>
  <c r="K15" i="108"/>
  <c r="K13" i="108"/>
  <c r="K12" i="108"/>
  <c r="K11" i="108"/>
  <c r="K10" i="108"/>
  <c r="K9" i="108"/>
  <c r="K14" i="112" l="1"/>
  <c r="K44" i="110"/>
  <c r="K56" i="112"/>
  <c r="K26" i="110"/>
  <c r="K56" i="108"/>
  <c r="K20" i="113"/>
  <c r="K14" i="108"/>
  <c r="K44" i="113"/>
  <c r="K50" i="113"/>
  <c r="K56" i="113"/>
  <c r="K26" i="113"/>
  <c r="K14" i="113"/>
  <c r="K44" i="112"/>
  <c r="K50" i="112"/>
  <c r="K20" i="112"/>
  <c r="K26" i="112"/>
  <c r="K50" i="111"/>
  <c r="K56" i="111"/>
  <c r="K44" i="111"/>
  <c r="K14" i="111"/>
  <c r="K20" i="111"/>
  <c r="K26" i="111"/>
  <c r="K50" i="110"/>
  <c r="K56" i="110"/>
  <c r="K14" i="110"/>
  <c r="K20" i="110"/>
  <c r="K44" i="109"/>
  <c r="K50" i="109"/>
  <c r="K56" i="109"/>
  <c r="K14" i="109"/>
  <c r="K20" i="109"/>
  <c r="K26" i="109"/>
  <c r="K44" i="108"/>
  <c r="K50" i="108"/>
  <c r="K20" i="108"/>
  <c r="K26" i="108"/>
  <c r="F40" i="145" l="1"/>
  <c r="D22" i="140" l="1"/>
  <c r="C22" i="140"/>
  <c r="D22" i="139"/>
  <c r="C22" i="139"/>
  <c r="D22" i="120"/>
  <c r="C22" i="120"/>
  <c r="K17" i="107" l="1"/>
  <c r="I27" i="107"/>
  <c r="J61" i="108"/>
  <c r="I61" i="108"/>
  <c r="J60" i="108"/>
  <c r="I60" i="108"/>
  <c r="J59" i="108"/>
  <c r="I59" i="108"/>
  <c r="J58" i="108"/>
  <c r="I58" i="108"/>
  <c r="J57" i="108"/>
  <c r="I57" i="108"/>
  <c r="J61" i="109"/>
  <c r="I61" i="109"/>
  <c r="J60" i="109"/>
  <c r="I60" i="109"/>
  <c r="J59" i="109"/>
  <c r="I59" i="109"/>
  <c r="J58" i="109"/>
  <c r="I58" i="109"/>
  <c r="J57" i="109"/>
  <c r="I57" i="109"/>
  <c r="J61" i="110"/>
  <c r="I61" i="110"/>
  <c r="J60" i="110"/>
  <c r="I60" i="110"/>
  <c r="J59" i="110"/>
  <c r="I59" i="110"/>
  <c r="J58" i="110"/>
  <c r="I58" i="110"/>
  <c r="J57" i="110"/>
  <c r="I57" i="110"/>
  <c r="J61" i="111"/>
  <c r="I61" i="111"/>
  <c r="J60" i="111"/>
  <c r="I60" i="111"/>
  <c r="J59" i="111"/>
  <c r="I59" i="111"/>
  <c r="J58" i="111"/>
  <c r="I58" i="111"/>
  <c r="J57" i="111"/>
  <c r="I57" i="111"/>
  <c r="J61" i="112"/>
  <c r="I61" i="112"/>
  <c r="J60" i="112"/>
  <c r="I60" i="112"/>
  <c r="J59" i="112"/>
  <c r="I59" i="112"/>
  <c r="J58" i="112"/>
  <c r="I58" i="112"/>
  <c r="J57" i="112"/>
  <c r="I57" i="112"/>
  <c r="J61" i="113"/>
  <c r="I61" i="113"/>
  <c r="J60" i="113"/>
  <c r="I60" i="113"/>
  <c r="J59" i="113"/>
  <c r="I59" i="113"/>
  <c r="J58" i="113"/>
  <c r="I58" i="113"/>
  <c r="J57" i="113"/>
  <c r="I57" i="113"/>
  <c r="J61" i="107"/>
  <c r="I61" i="107"/>
  <c r="J60" i="107"/>
  <c r="I60" i="107"/>
  <c r="J59" i="107"/>
  <c r="I59" i="107"/>
  <c r="J58" i="107"/>
  <c r="I58" i="107"/>
  <c r="J57" i="107"/>
  <c r="I57" i="107"/>
  <c r="J31" i="108"/>
  <c r="I31" i="108"/>
  <c r="J30" i="108"/>
  <c r="I30" i="108"/>
  <c r="J29" i="108"/>
  <c r="I29" i="108"/>
  <c r="J28" i="108"/>
  <c r="I28" i="108"/>
  <c r="J27" i="108"/>
  <c r="I27" i="108"/>
  <c r="J31" i="109"/>
  <c r="I31" i="109"/>
  <c r="J30" i="109"/>
  <c r="I30" i="109"/>
  <c r="J29" i="109"/>
  <c r="I29" i="109"/>
  <c r="J28" i="109"/>
  <c r="I28" i="109"/>
  <c r="J27" i="109"/>
  <c r="I27" i="109"/>
  <c r="J31" i="110"/>
  <c r="I31" i="110"/>
  <c r="J30" i="110"/>
  <c r="I30" i="110"/>
  <c r="J29" i="110"/>
  <c r="I29" i="110"/>
  <c r="J28" i="110"/>
  <c r="I28" i="110"/>
  <c r="J27" i="110"/>
  <c r="I27" i="110"/>
  <c r="J31" i="111"/>
  <c r="I31" i="111"/>
  <c r="J30" i="111"/>
  <c r="I30" i="111"/>
  <c r="J29" i="111"/>
  <c r="I29" i="111"/>
  <c r="J28" i="111"/>
  <c r="I28" i="111"/>
  <c r="J27" i="111"/>
  <c r="I27" i="111"/>
  <c r="J31" i="112"/>
  <c r="I31" i="112"/>
  <c r="J30" i="112"/>
  <c r="I30" i="112"/>
  <c r="J29" i="112"/>
  <c r="I29" i="112"/>
  <c r="J28" i="112"/>
  <c r="I28" i="112"/>
  <c r="J27" i="112"/>
  <c r="I27" i="112"/>
  <c r="J31" i="113"/>
  <c r="I31" i="113"/>
  <c r="J30" i="113"/>
  <c r="I30" i="113"/>
  <c r="J29" i="113"/>
  <c r="I29" i="113"/>
  <c r="J28" i="113"/>
  <c r="I28" i="113"/>
  <c r="J27" i="113"/>
  <c r="I27" i="113"/>
  <c r="J31" i="107"/>
  <c r="I31" i="107"/>
  <c r="J30" i="107"/>
  <c r="I30" i="107"/>
  <c r="J29" i="107"/>
  <c r="I29" i="107"/>
  <c r="J28" i="107"/>
  <c r="I28" i="107"/>
  <c r="J27" i="107"/>
  <c r="I62" i="110" l="1"/>
  <c r="K60" i="110" s="1"/>
  <c r="I62" i="108"/>
  <c r="K59" i="108" s="1"/>
  <c r="J32" i="107"/>
  <c r="I32" i="113"/>
  <c r="K31" i="113" s="1"/>
  <c r="J32" i="113"/>
  <c r="I62" i="112"/>
  <c r="K60" i="112" s="1"/>
  <c r="J62" i="111"/>
  <c r="J32" i="111"/>
  <c r="I32" i="111"/>
  <c r="K31" i="111" s="1"/>
  <c r="J62" i="109"/>
  <c r="I32" i="109"/>
  <c r="K28" i="109" s="1"/>
  <c r="J32" i="109"/>
  <c r="I62" i="107"/>
  <c r="I32" i="107"/>
  <c r="J62" i="113"/>
  <c r="I62" i="113"/>
  <c r="K57" i="113" s="1"/>
  <c r="J62" i="112"/>
  <c r="J32" i="112"/>
  <c r="I32" i="112"/>
  <c r="K31" i="112" s="1"/>
  <c r="I62" i="111"/>
  <c r="K57" i="111" s="1"/>
  <c r="J62" i="110"/>
  <c r="J32" i="110"/>
  <c r="I32" i="110"/>
  <c r="K31" i="110" s="1"/>
  <c r="I62" i="109"/>
  <c r="K61" i="109" s="1"/>
  <c r="J62" i="108"/>
  <c r="J32" i="108"/>
  <c r="I32" i="108"/>
  <c r="K30" i="108" s="1"/>
  <c r="J62" i="107"/>
  <c r="J11" i="163"/>
  <c r="I11" i="163"/>
  <c r="H11" i="163"/>
  <c r="G11" i="163"/>
  <c r="J10" i="163"/>
  <c r="I10" i="163"/>
  <c r="H10" i="163"/>
  <c r="G10" i="163"/>
  <c r="J9" i="163"/>
  <c r="I9" i="163"/>
  <c r="H9" i="163"/>
  <c r="G9" i="163"/>
  <c r="J8" i="163"/>
  <c r="I8" i="163"/>
  <c r="H8" i="163"/>
  <c r="G8" i="163"/>
  <c r="J7" i="163"/>
  <c r="I7" i="163"/>
  <c r="H7" i="163"/>
  <c r="G7" i="163"/>
  <c r="K29" i="112" l="1"/>
  <c r="K61" i="110"/>
  <c r="K57" i="109"/>
  <c r="K31" i="109"/>
  <c r="K58" i="113"/>
  <c r="K61" i="113"/>
  <c r="K29" i="111"/>
  <c r="K27" i="111"/>
  <c r="K28" i="111"/>
  <c r="K58" i="110"/>
  <c r="K30" i="110"/>
  <c r="K29" i="110"/>
  <c r="K59" i="109"/>
  <c r="K60" i="109"/>
  <c r="K30" i="109"/>
  <c r="K27" i="109"/>
  <c r="K31" i="108"/>
  <c r="K28" i="108"/>
  <c r="K59" i="113"/>
  <c r="K60" i="113"/>
  <c r="K29" i="113"/>
  <c r="K27" i="113"/>
  <c r="K30" i="113"/>
  <c r="K28" i="113"/>
  <c r="K61" i="112"/>
  <c r="K58" i="112"/>
  <c r="K59" i="112"/>
  <c r="K57" i="112"/>
  <c r="K30" i="112"/>
  <c r="K27" i="112"/>
  <c r="K28" i="112"/>
  <c r="K61" i="111"/>
  <c r="K58" i="111"/>
  <c r="K59" i="111"/>
  <c r="K60" i="111"/>
  <c r="K30" i="111"/>
  <c r="K59" i="110"/>
  <c r="K57" i="110"/>
  <c r="K28" i="110"/>
  <c r="K27" i="110"/>
  <c r="K58" i="109"/>
  <c r="K29" i="109"/>
  <c r="K60" i="108"/>
  <c r="K58" i="108"/>
  <c r="K57" i="108"/>
  <c r="K61" i="108"/>
  <c r="K29" i="108"/>
  <c r="K27" i="108"/>
  <c r="K9" i="163"/>
  <c r="K10" i="163"/>
  <c r="K7" i="163"/>
  <c r="K8" i="163"/>
  <c r="K11" i="163"/>
  <c r="K62" i="111" l="1"/>
  <c r="K32" i="110"/>
  <c r="K62" i="113"/>
  <c r="K32" i="113"/>
  <c r="K62" i="109"/>
  <c r="K32" i="108"/>
  <c r="K62" i="108"/>
  <c r="K62" i="112"/>
  <c r="K32" i="112"/>
  <c r="K32" i="111"/>
  <c r="K62" i="110"/>
  <c r="K32" i="109"/>
  <c r="C11" i="161"/>
  <c r="C11" i="162"/>
  <c r="B11" i="162"/>
  <c r="D11" i="162"/>
  <c r="B11" i="161"/>
  <c r="E9" i="162" l="1"/>
  <c r="E7" i="162"/>
  <c r="E10" i="162"/>
  <c r="E8" i="162"/>
  <c r="E8" i="161"/>
  <c r="E10" i="161"/>
  <c r="E7" i="161"/>
  <c r="E9" i="161"/>
  <c r="K19" i="116"/>
  <c r="K18" i="116"/>
  <c r="K17" i="116"/>
  <c r="K23" i="116"/>
  <c r="K24" i="116"/>
  <c r="K25" i="116"/>
  <c r="K26" i="116"/>
  <c r="K27" i="116"/>
  <c r="K22" i="116"/>
  <c r="K16" i="116"/>
  <c r="K20" i="116"/>
  <c r="K15" i="116"/>
  <c r="K9" i="116"/>
  <c r="K10" i="116"/>
  <c r="K11" i="116"/>
  <c r="K12" i="116"/>
  <c r="K13" i="116"/>
  <c r="K8" i="116"/>
  <c r="J34" i="116"/>
  <c r="I34" i="116"/>
  <c r="J33" i="116"/>
  <c r="I33" i="116"/>
  <c r="J32" i="116"/>
  <c r="I32" i="116"/>
  <c r="J31" i="116"/>
  <c r="I31" i="116"/>
  <c r="J30" i="116"/>
  <c r="I30" i="116"/>
  <c r="J29" i="116"/>
  <c r="E11" i="161" l="1"/>
  <c r="E11" i="162"/>
  <c r="K14" i="116"/>
  <c r="K21" i="116"/>
  <c r="J35" i="116"/>
  <c r="D11" i="126"/>
  <c r="I35" i="116"/>
  <c r="K28" i="116"/>
  <c r="K33" i="116" l="1"/>
  <c r="K32" i="116"/>
  <c r="K29" i="116"/>
  <c r="K30" i="116"/>
  <c r="K31" i="116"/>
  <c r="K34" i="116"/>
  <c r="K35" i="116" l="1"/>
  <c r="H55" i="113" l="1"/>
  <c r="H49" i="113"/>
  <c r="H43" i="113"/>
  <c r="H25" i="113"/>
  <c r="H19" i="113"/>
  <c r="H13" i="113"/>
  <c r="H55" i="112"/>
  <c r="H49" i="112"/>
  <c r="H43" i="112"/>
  <c r="H25" i="112"/>
  <c r="H19" i="112"/>
  <c r="H13" i="112"/>
  <c r="H55" i="111"/>
  <c r="H49" i="111"/>
  <c r="H43" i="111"/>
  <c r="H25" i="111"/>
  <c r="H19" i="111"/>
  <c r="H13" i="111"/>
  <c r="H55" i="110"/>
  <c r="H49" i="110"/>
  <c r="H43" i="110"/>
  <c r="H25" i="110"/>
  <c r="H19" i="110"/>
  <c r="H13" i="110"/>
  <c r="H55" i="109"/>
  <c r="H49" i="109"/>
  <c r="H43" i="109"/>
  <c r="H25" i="109"/>
  <c r="H19" i="109"/>
  <c r="H13" i="109"/>
  <c r="H55" i="108"/>
  <c r="H49" i="108"/>
  <c r="H43" i="108"/>
  <c r="H25" i="108"/>
  <c r="H19" i="108"/>
  <c r="H13" i="108"/>
  <c r="K61" i="107"/>
  <c r="K55" i="107"/>
  <c r="K49" i="107"/>
  <c r="K43" i="107"/>
  <c r="H55" i="107"/>
  <c r="H49" i="107"/>
  <c r="H43" i="107"/>
  <c r="K31" i="107"/>
  <c r="K25" i="107"/>
  <c r="K19" i="107"/>
  <c r="K13" i="107"/>
  <c r="H25" i="107"/>
  <c r="H19" i="107"/>
  <c r="H13" i="107"/>
  <c r="H26" i="116"/>
  <c r="H19" i="116"/>
  <c r="H12" i="116"/>
  <c r="S21" i="122" l="1"/>
  <c r="C19" i="122" l="1"/>
  <c r="G49" i="107" l="1"/>
  <c r="K9" i="107" l="1"/>
  <c r="K10" i="107"/>
  <c r="K11" i="107"/>
  <c r="K12" i="107"/>
  <c r="K15" i="107"/>
  <c r="K16" i="107"/>
  <c r="K18" i="107"/>
  <c r="K21" i="107"/>
  <c r="K22" i="107"/>
  <c r="K23" i="107"/>
  <c r="K24" i="107"/>
  <c r="K27" i="107"/>
  <c r="K28" i="107"/>
  <c r="K29" i="107"/>
  <c r="K30" i="107"/>
  <c r="K32" i="107" l="1"/>
  <c r="K26" i="107"/>
  <c r="K20" i="107"/>
  <c r="K14" i="107"/>
  <c r="T27" i="147"/>
  <c r="S27" i="147"/>
  <c r="M27" i="147"/>
  <c r="L27" i="147"/>
  <c r="K27" i="147"/>
  <c r="F27" i="147"/>
  <c r="E31" i="107" l="1"/>
  <c r="H31" i="107" s="1"/>
  <c r="E33" i="116" l="1"/>
  <c r="F33" i="116"/>
  <c r="E32" i="116"/>
  <c r="D33" i="116"/>
  <c r="H33" i="116" l="1"/>
  <c r="F38" i="145"/>
  <c r="E38" i="145"/>
  <c r="G38" i="145" s="1"/>
  <c r="F61" i="113" l="1"/>
  <c r="E61" i="113"/>
  <c r="H61" i="113" s="1"/>
  <c r="D61" i="113"/>
  <c r="F60" i="113"/>
  <c r="E60" i="113"/>
  <c r="H60" i="113" s="1"/>
  <c r="D60" i="113"/>
  <c r="F59" i="113"/>
  <c r="E59" i="113"/>
  <c r="H59" i="113" s="1"/>
  <c r="D59" i="113"/>
  <c r="F58" i="113"/>
  <c r="E58" i="113"/>
  <c r="H58" i="113" s="1"/>
  <c r="D58" i="113"/>
  <c r="F57" i="113"/>
  <c r="E57" i="113"/>
  <c r="D57" i="113"/>
  <c r="G55" i="113"/>
  <c r="H54" i="113"/>
  <c r="G54" i="113"/>
  <c r="H53" i="113"/>
  <c r="G53" i="113"/>
  <c r="H52" i="113"/>
  <c r="G52" i="113"/>
  <c r="H51" i="113"/>
  <c r="G51" i="113"/>
  <c r="H50" i="113"/>
  <c r="G49" i="113"/>
  <c r="H48" i="113"/>
  <c r="G48" i="113"/>
  <c r="H47" i="113"/>
  <c r="G47" i="113"/>
  <c r="H46" i="113"/>
  <c r="G46" i="113"/>
  <c r="H45" i="113"/>
  <c r="G45" i="113"/>
  <c r="H44" i="113"/>
  <c r="G43" i="113"/>
  <c r="H42" i="113"/>
  <c r="G42" i="113"/>
  <c r="H41" i="113"/>
  <c r="G41" i="113"/>
  <c r="H40" i="113"/>
  <c r="G40" i="113"/>
  <c r="H39" i="113"/>
  <c r="G39" i="113"/>
  <c r="F61" i="112"/>
  <c r="E61" i="112"/>
  <c r="H61" i="112" s="1"/>
  <c r="D61" i="112"/>
  <c r="F60" i="112"/>
  <c r="E60" i="112"/>
  <c r="H60" i="112" s="1"/>
  <c r="D60" i="112"/>
  <c r="F59" i="112"/>
  <c r="E59" i="112"/>
  <c r="H59" i="112" s="1"/>
  <c r="D59" i="112"/>
  <c r="F58" i="112"/>
  <c r="E58" i="112"/>
  <c r="H58" i="112" s="1"/>
  <c r="D58" i="112"/>
  <c r="F57" i="112"/>
  <c r="E57" i="112"/>
  <c r="D57" i="112"/>
  <c r="H56" i="112"/>
  <c r="G55" i="112"/>
  <c r="H54" i="112"/>
  <c r="G54" i="112"/>
  <c r="H53" i="112"/>
  <c r="G53" i="112"/>
  <c r="H52" i="112"/>
  <c r="G52" i="112"/>
  <c r="H51" i="112"/>
  <c r="G51" i="112"/>
  <c r="H50" i="112"/>
  <c r="G49" i="112"/>
  <c r="H48" i="112"/>
  <c r="G48" i="112"/>
  <c r="H47" i="112"/>
  <c r="G47" i="112"/>
  <c r="H46" i="112"/>
  <c r="G46" i="112"/>
  <c r="H45" i="112"/>
  <c r="G45" i="112"/>
  <c r="H44" i="112"/>
  <c r="G43" i="112"/>
  <c r="H42" i="112"/>
  <c r="G42" i="112"/>
  <c r="H41" i="112"/>
  <c r="G41" i="112"/>
  <c r="H40" i="112"/>
  <c r="G40" i="112"/>
  <c r="H39" i="112"/>
  <c r="G39" i="112"/>
  <c r="F61" i="111"/>
  <c r="E61" i="111"/>
  <c r="H61" i="111" s="1"/>
  <c r="D61" i="111"/>
  <c r="F60" i="111"/>
  <c r="E60" i="111"/>
  <c r="H60" i="111" s="1"/>
  <c r="D60" i="111"/>
  <c r="F59" i="111"/>
  <c r="E59" i="111"/>
  <c r="H59" i="111" s="1"/>
  <c r="D59" i="111"/>
  <c r="F58" i="111"/>
  <c r="E58" i="111"/>
  <c r="H58" i="111" s="1"/>
  <c r="D58" i="111"/>
  <c r="F57" i="111"/>
  <c r="E57" i="111"/>
  <c r="D57" i="111"/>
  <c r="H56" i="111"/>
  <c r="G55" i="111"/>
  <c r="H54" i="111"/>
  <c r="G54" i="111"/>
  <c r="H53" i="111"/>
  <c r="G53" i="111"/>
  <c r="H52" i="111"/>
  <c r="G52" i="111"/>
  <c r="H51" i="111"/>
  <c r="G51" i="111"/>
  <c r="H50" i="111"/>
  <c r="G49" i="111"/>
  <c r="H48" i="111"/>
  <c r="G48" i="111"/>
  <c r="H47" i="111"/>
  <c r="G47" i="111"/>
  <c r="H46" i="111"/>
  <c r="G46" i="111"/>
  <c r="H45" i="111"/>
  <c r="G45" i="111"/>
  <c r="G43" i="111"/>
  <c r="H42" i="111"/>
  <c r="G42" i="111"/>
  <c r="H41" i="111"/>
  <c r="G41" i="111"/>
  <c r="H40" i="111"/>
  <c r="G40" i="111"/>
  <c r="H39" i="111"/>
  <c r="G39" i="111"/>
  <c r="F61" i="110"/>
  <c r="E61" i="110"/>
  <c r="H61" i="110" s="1"/>
  <c r="D61" i="110"/>
  <c r="F60" i="110"/>
  <c r="E60" i="110"/>
  <c r="H60" i="110" s="1"/>
  <c r="D60" i="110"/>
  <c r="F59" i="110"/>
  <c r="E59" i="110"/>
  <c r="H59" i="110" s="1"/>
  <c r="D59" i="110"/>
  <c r="F58" i="110"/>
  <c r="E58" i="110"/>
  <c r="H58" i="110" s="1"/>
  <c r="D58" i="110"/>
  <c r="F57" i="110"/>
  <c r="E57" i="110"/>
  <c r="D57" i="110"/>
  <c r="H56" i="110"/>
  <c r="G55" i="110"/>
  <c r="H54" i="110"/>
  <c r="G54" i="110"/>
  <c r="H53" i="110"/>
  <c r="G53" i="110"/>
  <c r="H52" i="110"/>
  <c r="G52" i="110"/>
  <c r="H51" i="110"/>
  <c r="G51" i="110"/>
  <c r="H50" i="110"/>
  <c r="G49" i="110"/>
  <c r="H48" i="110"/>
  <c r="G48" i="110"/>
  <c r="H47" i="110"/>
  <c r="G47" i="110"/>
  <c r="H46" i="110"/>
  <c r="G46" i="110"/>
  <c r="H45" i="110"/>
  <c r="G45" i="110"/>
  <c r="H44" i="110"/>
  <c r="G43" i="110"/>
  <c r="H42" i="110"/>
  <c r="G42" i="110"/>
  <c r="H41" i="110"/>
  <c r="G41" i="110"/>
  <c r="H40" i="110"/>
  <c r="G40" i="110"/>
  <c r="H39" i="110"/>
  <c r="G39" i="110"/>
  <c r="F61" i="109"/>
  <c r="E61" i="109"/>
  <c r="H61" i="109" s="1"/>
  <c r="D61" i="109"/>
  <c r="F60" i="109"/>
  <c r="E60" i="109"/>
  <c r="H60" i="109" s="1"/>
  <c r="D60" i="109"/>
  <c r="F59" i="109"/>
  <c r="E59" i="109"/>
  <c r="H59" i="109" s="1"/>
  <c r="D59" i="109"/>
  <c r="F58" i="109"/>
  <c r="E58" i="109"/>
  <c r="H58" i="109" s="1"/>
  <c r="D58" i="109"/>
  <c r="F57" i="109"/>
  <c r="E57" i="109"/>
  <c r="D57" i="109"/>
  <c r="H56" i="109"/>
  <c r="G55" i="109"/>
  <c r="H54" i="109"/>
  <c r="G54" i="109"/>
  <c r="H53" i="109"/>
  <c r="G53" i="109"/>
  <c r="H52" i="109"/>
  <c r="G52" i="109"/>
  <c r="H51" i="109"/>
  <c r="G51" i="109"/>
  <c r="H50" i="109"/>
  <c r="G49" i="109"/>
  <c r="H48" i="109"/>
  <c r="G48" i="109"/>
  <c r="H47" i="109"/>
  <c r="G47" i="109"/>
  <c r="H46" i="109"/>
  <c r="G46" i="109"/>
  <c r="H45" i="109"/>
  <c r="G45" i="109"/>
  <c r="H44" i="109"/>
  <c r="G43" i="109"/>
  <c r="H42" i="109"/>
  <c r="G42" i="109"/>
  <c r="H41" i="109"/>
  <c r="G41" i="109"/>
  <c r="H40" i="109"/>
  <c r="G40" i="109"/>
  <c r="H39" i="109"/>
  <c r="G39" i="109"/>
  <c r="G41" i="108"/>
  <c r="F61" i="108"/>
  <c r="E61" i="108"/>
  <c r="H61" i="108" s="1"/>
  <c r="D61" i="108"/>
  <c r="F60" i="108"/>
  <c r="E60" i="108"/>
  <c r="H60" i="108" s="1"/>
  <c r="D60" i="108"/>
  <c r="F59" i="108"/>
  <c r="E59" i="108"/>
  <c r="H59" i="108" s="1"/>
  <c r="D59" i="108"/>
  <c r="F58" i="108"/>
  <c r="E58" i="108"/>
  <c r="H58" i="108" s="1"/>
  <c r="D58" i="108"/>
  <c r="F57" i="108"/>
  <c r="E57" i="108"/>
  <c r="H57" i="108" s="1"/>
  <c r="D57" i="108"/>
  <c r="H56" i="108"/>
  <c r="G55" i="108"/>
  <c r="H54" i="108"/>
  <c r="G54" i="108"/>
  <c r="H53" i="108"/>
  <c r="G53" i="108"/>
  <c r="H52" i="108"/>
  <c r="G52" i="108"/>
  <c r="H51" i="108"/>
  <c r="G51" i="108"/>
  <c r="H50" i="108"/>
  <c r="G49" i="108"/>
  <c r="H48" i="108"/>
  <c r="G48" i="108"/>
  <c r="H47" i="108"/>
  <c r="G47" i="108"/>
  <c r="H46" i="108"/>
  <c r="G46" i="108"/>
  <c r="H45" i="108"/>
  <c r="G45" i="108"/>
  <c r="H44" i="108"/>
  <c r="G43" i="108"/>
  <c r="H42" i="108"/>
  <c r="G42" i="108"/>
  <c r="H41" i="108"/>
  <c r="H40" i="108"/>
  <c r="G40" i="108"/>
  <c r="H39" i="108"/>
  <c r="G39" i="108"/>
  <c r="F31" i="113"/>
  <c r="E31" i="113"/>
  <c r="H31" i="113" s="1"/>
  <c r="D31" i="113"/>
  <c r="F30" i="113"/>
  <c r="E30" i="113"/>
  <c r="H30" i="113" s="1"/>
  <c r="D30" i="113"/>
  <c r="F29" i="113"/>
  <c r="E29" i="113"/>
  <c r="H29" i="113" s="1"/>
  <c r="D29" i="113"/>
  <c r="F28" i="113"/>
  <c r="E28" i="113"/>
  <c r="H28" i="113" s="1"/>
  <c r="D28" i="113"/>
  <c r="F27" i="113"/>
  <c r="E27" i="113"/>
  <c r="D27" i="113"/>
  <c r="H26" i="113"/>
  <c r="G25" i="113"/>
  <c r="H24" i="113"/>
  <c r="G24" i="113"/>
  <c r="H23" i="113"/>
  <c r="G23" i="113"/>
  <c r="H22" i="113"/>
  <c r="G22" i="113"/>
  <c r="H21" i="113"/>
  <c r="G21" i="113"/>
  <c r="H20" i="113"/>
  <c r="G19" i="113"/>
  <c r="H18" i="113"/>
  <c r="G18" i="113"/>
  <c r="H17" i="113"/>
  <c r="G17" i="113"/>
  <c r="H16" i="113"/>
  <c r="G16" i="113"/>
  <c r="H15" i="113"/>
  <c r="G15" i="113"/>
  <c r="H14" i="113"/>
  <c r="G13" i="113"/>
  <c r="H12" i="113"/>
  <c r="G12" i="113"/>
  <c r="H11" i="113"/>
  <c r="G11" i="113"/>
  <c r="H10" i="113"/>
  <c r="G10" i="113"/>
  <c r="H9" i="113"/>
  <c r="G9" i="113"/>
  <c r="F31" i="112"/>
  <c r="E31" i="112"/>
  <c r="H31" i="112" s="1"/>
  <c r="D31" i="112"/>
  <c r="F30" i="112"/>
  <c r="E30" i="112"/>
  <c r="H30" i="112" s="1"/>
  <c r="D30" i="112"/>
  <c r="F29" i="112"/>
  <c r="E29" i="112"/>
  <c r="H29" i="112" s="1"/>
  <c r="D29" i="112"/>
  <c r="F28" i="112"/>
  <c r="E28" i="112"/>
  <c r="H28" i="112" s="1"/>
  <c r="D28" i="112"/>
  <c r="F27" i="112"/>
  <c r="E27" i="112"/>
  <c r="D27" i="112"/>
  <c r="H26" i="112"/>
  <c r="G25" i="112"/>
  <c r="H24" i="112"/>
  <c r="G24" i="112"/>
  <c r="H23" i="112"/>
  <c r="G23" i="112"/>
  <c r="H22" i="112"/>
  <c r="G22" i="112"/>
  <c r="H21" i="112"/>
  <c r="G21" i="112"/>
  <c r="H20" i="112"/>
  <c r="G19" i="112"/>
  <c r="H18" i="112"/>
  <c r="G18" i="112"/>
  <c r="H17" i="112"/>
  <c r="G17" i="112"/>
  <c r="H16" i="112"/>
  <c r="G16" i="112"/>
  <c r="H15" i="112"/>
  <c r="G15" i="112"/>
  <c r="H14" i="112"/>
  <c r="G13" i="112"/>
  <c r="H12" i="112"/>
  <c r="G12" i="112"/>
  <c r="H11" i="112"/>
  <c r="G11" i="112"/>
  <c r="H10" i="112"/>
  <c r="G10" i="112"/>
  <c r="H9" i="112"/>
  <c r="G9" i="112"/>
  <c r="F31" i="111"/>
  <c r="E31" i="111"/>
  <c r="H31" i="111" s="1"/>
  <c r="D31" i="111"/>
  <c r="F30" i="111"/>
  <c r="E30" i="111"/>
  <c r="H30" i="111" s="1"/>
  <c r="D30" i="111"/>
  <c r="F29" i="111"/>
  <c r="E29" i="111"/>
  <c r="H29" i="111" s="1"/>
  <c r="D29" i="111"/>
  <c r="F28" i="111"/>
  <c r="E28" i="111"/>
  <c r="H28" i="111" s="1"/>
  <c r="D28" i="111"/>
  <c r="F27" i="111"/>
  <c r="E27" i="111"/>
  <c r="D27" i="111"/>
  <c r="H26" i="111"/>
  <c r="G25" i="111"/>
  <c r="H24" i="111"/>
  <c r="G24" i="111"/>
  <c r="H23" i="111"/>
  <c r="G23" i="111"/>
  <c r="H22" i="111"/>
  <c r="G22" i="111"/>
  <c r="H21" i="111"/>
  <c r="G21" i="111"/>
  <c r="H20" i="111"/>
  <c r="G19" i="111"/>
  <c r="H18" i="111"/>
  <c r="G18" i="111"/>
  <c r="H17" i="111"/>
  <c r="G17" i="111"/>
  <c r="H16" i="111"/>
  <c r="G16" i="111"/>
  <c r="H15" i="111"/>
  <c r="G15" i="111"/>
  <c r="H14" i="111"/>
  <c r="G13" i="111"/>
  <c r="H12" i="111"/>
  <c r="G12" i="111"/>
  <c r="H11" i="111"/>
  <c r="G11" i="111"/>
  <c r="H10" i="111"/>
  <c r="G10" i="111"/>
  <c r="H9" i="111"/>
  <c r="G9" i="111"/>
  <c r="F31" i="110"/>
  <c r="E31" i="110"/>
  <c r="H31" i="110" s="1"/>
  <c r="D31" i="110"/>
  <c r="F30" i="110"/>
  <c r="E30" i="110"/>
  <c r="H30" i="110" s="1"/>
  <c r="D30" i="110"/>
  <c r="F29" i="110"/>
  <c r="E29" i="110"/>
  <c r="H29" i="110" s="1"/>
  <c r="D29" i="110"/>
  <c r="F28" i="110"/>
  <c r="E28" i="110"/>
  <c r="H28" i="110" s="1"/>
  <c r="D28" i="110"/>
  <c r="F27" i="110"/>
  <c r="E27" i="110"/>
  <c r="D27" i="110"/>
  <c r="H26" i="110"/>
  <c r="G25" i="110"/>
  <c r="H24" i="110"/>
  <c r="G24" i="110"/>
  <c r="H23" i="110"/>
  <c r="G23" i="110"/>
  <c r="H22" i="110"/>
  <c r="G22" i="110"/>
  <c r="H21" i="110"/>
  <c r="G21" i="110"/>
  <c r="H20" i="110"/>
  <c r="G19" i="110"/>
  <c r="H18" i="110"/>
  <c r="G18" i="110"/>
  <c r="H17" i="110"/>
  <c r="G17" i="110"/>
  <c r="H16" i="110"/>
  <c r="G16" i="110"/>
  <c r="H15" i="110"/>
  <c r="G15" i="110"/>
  <c r="H14" i="110"/>
  <c r="G13" i="110"/>
  <c r="H12" i="110"/>
  <c r="G12" i="110"/>
  <c r="H11" i="110"/>
  <c r="G11" i="110"/>
  <c r="H10" i="110"/>
  <c r="G10" i="110"/>
  <c r="H9" i="110"/>
  <c r="G9" i="110"/>
  <c r="F31" i="109"/>
  <c r="E31" i="109"/>
  <c r="H31" i="109" s="1"/>
  <c r="D31" i="109"/>
  <c r="F30" i="109"/>
  <c r="E30" i="109"/>
  <c r="H30" i="109" s="1"/>
  <c r="D30" i="109"/>
  <c r="F29" i="109"/>
  <c r="E29" i="109"/>
  <c r="H29" i="109" s="1"/>
  <c r="D29" i="109"/>
  <c r="F28" i="109"/>
  <c r="E28" i="109"/>
  <c r="H28" i="109" s="1"/>
  <c r="D28" i="109"/>
  <c r="F27" i="109"/>
  <c r="E27" i="109"/>
  <c r="D27" i="109"/>
  <c r="H26" i="109"/>
  <c r="G25" i="109"/>
  <c r="H24" i="109"/>
  <c r="G24" i="109"/>
  <c r="H23" i="109"/>
  <c r="G23" i="109"/>
  <c r="H22" i="109"/>
  <c r="G22" i="109"/>
  <c r="H21" i="109"/>
  <c r="G21" i="109"/>
  <c r="H20" i="109"/>
  <c r="G19" i="109"/>
  <c r="H18" i="109"/>
  <c r="G18" i="109"/>
  <c r="H17" i="109"/>
  <c r="G17" i="109"/>
  <c r="H16" i="109"/>
  <c r="G16" i="109"/>
  <c r="H15" i="109"/>
  <c r="G15" i="109"/>
  <c r="H14" i="109"/>
  <c r="G13" i="109"/>
  <c r="H12" i="109"/>
  <c r="G12" i="109"/>
  <c r="H11" i="109"/>
  <c r="G11" i="109"/>
  <c r="H10" i="109"/>
  <c r="G10" i="109"/>
  <c r="H9" i="109"/>
  <c r="G9" i="109"/>
  <c r="G55" i="107"/>
  <c r="G43" i="107"/>
  <c r="G42" i="107"/>
  <c r="E61" i="107"/>
  <c r="H61" i="107" s="1"/>
  <c r="E57" i="107"/>
  <c r="G52" i="107"/>
  <c r="G53" i="107"/>
  <c r="G54" i="107"/>
  <c r="G51" i="107"/>
  <c r="G46" i="107"/>
  <c r="G47" i="107"/>
  <c r="G48" i="107"/>
  <c r="G45" i="107"/>
  <c r="G40" i="107"/>
  <c r="G41" i="107"/>
  <c r="G39" i="107"/>
  <c r="K58" i="107"/>
  <c r="K59" i="107"/>
  <c r="K60" i="107"/>
  <c r="K57" i="107"/>
  <c r="K52" i="107"/>
  <c r="K53" i="107"/>
  <c r="K54" i="107"/>
  <c r="K51" i="107"/>
  <c r="K46" i="107"/>
  <c r="K47" i="107"/>
  <c r="K48" i="107"/>
  <c r="K45" i="107"/>
  <c r="K40" i="107"/>
  <c r="K41" i="107"/>
  <c r="K42" i="107"/>
  <c r="K39" i="107"/>
  <c r="H9" i="107"/>
  <c r="H39" i="107"/>
  <c r="F62" i="109" l="1"/>
  <c r="G44" i="107"/>
  <c r="K44" i="107"/>
  <c r="K50" i="107"/>
  <c r="K56" i="107"/>
  <c r="K62" i="107"/>
  <c r="G44" i="112"/>
  <c r="G56" i="112"/>
  <c r="G50" i="111"/>
  <c r="G44" i="109"/>
  <c r="G56" i="109"/>
  <c r="G14" i="109"/>
  <c r="G26" i="109"/>
  <c r="G56" i="108"/>
  <c r="G20" i="113"/>
  <c r="G20" i="111"/>
  <c r="G44" i="113"/>
  <c r="G56" i="113"/>
  <c r="G50" i="113"/>
  <c r="G14" i="113"/>
  <c r="G26" i="113"/>
  <c r="G50" i="112"/>
  <c r="G26" i="112"/>
  <c r="G14" i="112"/>
  <c r="G20" i="112"/>
  <c r="G44" i="111"/>
  <c r="G56" i="111"/>
  <c r="G14" i="111"/>
  <c r="G26" i="111"/>
  <c r="G44" i="110"/>
  <c r="G56" i="110"/>
  <c r="G50" i="110"/>
  <c r="G14" i="110"/>
  <c r="G26" i="110"/>
  <c r="G20" i="110"/>
  <c r="G50" i="109"/>
  <c r="G20" i="109"/>
  <c r="G44" i="108"/>
  <c r="G50" i="108"/>
  <c r="G50" i="107"/>
  <c r="G56" i="107"/>
  <c r="E62" i="113"/>
  <c r="G57" i="113" s="1"/>
  <c r="E32" i="113"/>
  <c r="H32" i="113" s="1"/>
  <c r="D62" i="113"/>
  <c r="E62" i="112"/>
  <c r="G60" i="112" s="1"/>
  <c r="E32" i="112"/>
  <c r="G28" i="112" s="1"/>
  <c r="D62" i="111"/>
  <c r="F62" i="111"/>
  <c r="D32" i="111"/>
  <c r="F62" i="110"/>
  <c r="D62" i="110"/>
  <c r="D32" i="110"/>
  <c r="F32" i="110"/>
  <c r="F32" i="109"/>
  <c r="D32" i="109"/>
  <c r="F62" i="108"/>
  <c r="F62" i="113"/>
  <c r="F32" i="113"/>
  <c r="D32" i="113"/>
  <c r="H57" i="112"/>
  <c r="D62" i="112"/>
  <c r="F62" i="112"/>
  <c r="D32" i="112"/>
  <c r="F32" i="112"/>
  <c r="H27" i="112"/>
  <c r="E62" i="111"/>
  <c r="H62" i="111" s="1"/>
  <c r="F32" i="111"/>
  <c r="E32" i="111"/>
  <c r="G30" i="111" s="1"/>
  <c r="E62" i="110"/>
  <c r="H62" i="110" s="1"/>
  <c r="E32" i="110"/>
  <c r="G30" i="110" s="1"/>
  <c r="D62" i="109"/>
  <c r="E62" i="109"/>
  <c r="G59" i="109" s="1"/>
  <c r="E32" i="109"/>
  <c r="H32" i="109" s="1"/>
  <c r="D62" i="108"/>
  <c r="E62" i="108"/>
  <c r="H62" i="108" s="1"/>
  <c r="H57" i="113"/>
  <c r="H57" i="111"/>
  <c r="H57" i="110"/>
  <c r="H57" i="109"/>
  <c r="H27" i="113"/>
  <c r="H27" i="111"/>
  <c r="H27" i="110"/>
  <c r="H27" i="109"/>
  <c r="G57" i="112" l="1"/>
  <c r="G58" i="112"/>
  <c r="G60" i="113"/>
  <c r="G59" i="112"/>
  <c r="G61" i="112"/>
  <c r="H62" i="112"/>
  <c r="G59" i="113"/>
  <c r="G61" i="113"/>
  <c r="G58" i="108"/>
  <c r="G59" i="111"/>
  <c r="G27" i="113"/>
  <c r="G30" i="113"/>
  <c r="G30" i="112"/>
  <c r="G57" i="110"/>
  <c r="G31" i="113"/>
  <c r="G58" i="109"/>
  <c r="G61" i="109"/>
  <c r="G29" i="109"/>
  <c r="G28" i="109"/>
  <c r="G30" i="109"/>
  <c r="G31" i="109"/>
  <c r="G57" i="108"/>
  <c r="G59" i="108"/>
  <c r="G60" i="108"/>
  <c r="G61" i="108"/>
  <c r="G58" i="113"/>
  <c r="H62" i="113"/>
  <c r="G29" i="113"/>
  <c r="G28" i="113"/>
  <c r="G29" i="112"/>
  <c r="G31" i="112"/>
  <c r="G60" i="109"/>
  <c r="G57" i="109"/>
  <c r="H62" i="109"/>
  <c r="G27" i="109"/>
  <c r="H32" i="112"/>
  <c r="G27" i="112"/>
  <c r="G57" i="111"/>
  <c r="G31" i="111"/>
  <c r="H32" i="111"/>
  <c r="G59" i="110"/>
  <c r="G31" i="110"/>
  <c r="H32" i="110"/>
  <c r="G60" i="111"/>
  <c r="G61" i="111"/>
  <c r="G58" i="111"/>
  <c r="G29" i="111"/>
  <c r="G28" i="111"/>
  <c r="G27" i="111"/>
  <c r="G60" i="110"/>
  <c r="G61" i="110"/>
  <c r="G58" i="110"/>
  <c r="G29" i="110"/>
  <c r="G28" i="110"/>
  <c r="G27" i="110"/>
  <c r="G62" i="112" l="1"/>
  <c r="G62" i="113"/>
  <c r="G62" i="109"/>
  <c r="G62" i="108"/>
  <c r="G32" i="113"/>
  <c r="G62" i="110"/>
  <c r="G32" i="110"/>
  <c r="G32" i="109"/>
  <c r="G32" i="112"/>
  <c r="G62" i="111"/>
  <c r="G32" i="111"/>
  <c r="N18" i="147" l="1"/>
  <c r="G21" i="147"/>
  <c r="G18" i="147"/>
  <c r="S18" i="147"/>
  <c r="T28" i="147" s="1"/>
  <c r="S19" i="147"/>
  <c r="T29" i="147" s="1"/>
  <c r="S20" i="147"/>
  <c r="T30" i="147" s="1"/>
  <c r="S21" i="147"/>
  <c r="T31" i="147" s="1"/>
  <c r="S22" i="147"/>
  <c r="S23" i="147"/>
  <c r="S24" i="147"/>
  <c r="L18" i="147"/>
  <c r="M28" i="147" s="1"/>
  <c r="L19" i="147"/>
  <c r="M29" i="147" s="1"/>
  <c r="L20" i="147"/>
  <c r="M30" i="147" s="1"/>
  <c r="L21" i="147"/>
  <c r="M31" i="147" s="1"/>
  <c r="L22" i="147"/>
  <c r="L23" i="147"/>
  <c r="L24" i="147"/>
  <c r="F18" i="147"/>
  <c r="F28" i="147" s="1"/>
  <c r="F19" i="147"/>
  <c r="F20" i="147"/>
  <c r="F21" i="147"/>
  <c r="F22" i="147"/>
  <c r="F23" i="147"/>
  <c r="F24" i="147"/>
  <c r="F31" i="108"/>
  <c r="E31" i="108"/>
  <c r="H31" i="108" s="1"/>
  <c r="D31" i="108"/>
  <c r="F30" i="108"/>
  <c r="E30" i="108"/>
  <c r="H30" i="108" s="1"/>
  <c r="D30" i="108"/>
  <c r="F29" i="108"/>
  <c r="E29" i="108"/>
  <c r="H29" i="108" s="1"/>
  <c r="D29" i="108"/>
  <c r="F28" i="108"/>
  <c r="E28" i="108"/>
  <c r="D28" i="108"/>
  <c r="F27" i="108"/>
  <c r="E27" i="108"/>
  <c r="H27" i="108" s="1"/>
  <c r="D27" i="108"/>
  <c r="H26" i="108"/>
  <c r="H24" i="108"/>
  <c r="H23" i="108"/>
  <c r="H22" i="108"/>
  <c r="H21" i="108"/>
  <c r="H20" i="108"/>
  <c r="H18" i="108"/>
  <c r="H17" i="108"/>
  <c r="H16" i="108"/>
  <c r="H15" i="108"/>
  <c r="H14" i="108"/>
  <c r="H12" i="108"/>
  <c r="H11" i="108"/>
  <c r="H10" i="108"/>
  <c r="H9" i="108"/>
  <c r="E59" i="107"/>
  <c r="H59" i="107" s="1"/>
  <c r="F61" i="107"/>
  <c r="D61" i="107"/>
  <c r="F60" i="107"/>
  <c r="E60" i="107"/>
  <c r="H60" i="107" s="1"/>
  <c r="D60" i="107"/>
  <c r="F59" i="107"/>
  <c r="D59" i="107"/>
  <c r="F58" i="107"/>
  <c r="E58" i="107"/>
  <c r="H58" i="107" s="1"/>
  <c r="D58" i="107"/>
  <c r="H57" i="107"/>
  <c r="F57" i="107"/>
  <c r="D57" i="107"/>
  <c r="H56" i="107"/>
  <c r="H54" i="107"/>
  <c r="H53" i="107"/>
  <c r="H52" i="107"/>
  <c r="H51" i="107"/>
  <c r="H50" i="107"/>
  <c r="H48" i="107"/>
  <c r="H47" i="107"/>
  <c r="H46" i="107"/>
  <c r="H45" i="107"/>
  <c r="H44" i="107"/>
  <c r="H42" i="107"/>
  <c r="H41" i="107"/>
  <c r="H40" i="107"/>
  <c r="D31" i="107"/>
  <c r="F31" i="107"/>
  <c r="D30" i="107"/>
  <c r="D27" i="107"/>
  <c r="H14" i="107"/>
  <c r="G13" i="116"/>
  <c r="G12" i="116"/>
  <c r="G11" i="116"/>
  <c r="G10" i="116"/>
  <c r="G9" i="116"/>
  <c r="G8" i="116"/>
  <c r="F32" i="108" l="1"/>
  <c r="G14" i="116"/>
  <c r="E32" i="108"/>
  <c r="H32" i="108" s="1"/>
  <c r="D62" i="107"/>
  <c r="F62" i="107"/>
  <c r="H28" i="108"/>
  <c r="D32" i="108"/>
  <c r="E62" i="107"/>
  <c r="G59" i="107" s="1"/>
  <c r="G29" i="108" l="1"/>
  <c r="G31" i="108"/>
  <c r="G28" i="108"/>
  <c r="G27" i="108"/>
  <c r="G30" i="108"/>
  <c r="G60" i="107"/>
  <c r="H62" i="107"/>
  <c r="G57" i="107"/>
  <c r="G61" i="107"/>
  <c r="G58" i="107"/>
  <c r="G32" i="108" l="1"/>
  <c r="G62" i="107"/>
  <c r="H39" i="145"/>
  <c r="H40" i="145"/>
  <c r="B39" i="145"/>
  <c r="I20" i="122" l="1"/>
  <c r="B20" i="122"/>
  <c r="C27" i="147" l="1"/>
  <c r="D27" i="147"/>
  <c r="E27" i="147"/>
  <c r="B27" i="147"/>
  <c r="R18" i="128" l="1"/>
  <c r="P20" i="128"/>
  <c r="R20" i="128"/>
  <c r="B18" i="128"/>
  <c r="C18" i="128"/>
  <c r="D18" i="128"/>
  <c r="E18" i="128"/>
  <c r="F18" i="128"/>
  <c r="G18" i="128"/>
  <c r="H18" i="128"/>
  <c r="I18" i="128"/>
  <c r="J18" i="128"/>
  <c r="K18" i="128"/>
  <c r="L18" i="128"/>
  <c r="M18" i="128"/>
  <c r="N18" i="128"/>
  <c r="O18" i="128"/>
  <c r="P18" i="128"/>
  <c r="Q18" i="128"/>
  <c r="B19" i="128"/>
  <c r="C19" i="128"/>
  <c r="D19" i="128"/>
  <c r="E19" i="128"/>
  <c r="F19" i="128"/>
  <c r="G19" i="128"/>
  <c r="H19" i="128"/>
  <c r="I19" i="128"/>
  <c r="J19" i="128"/>
  <c r="K19" i="128"/>
  <c r="L19" i="128"/>
  <c r="M19" i="128"/>
  <c r="N19" i="128"/>
  <c r="O19" i="128"/>
  <c r="P19" i="128"/>
  <c r="Q19" i="128"/>
  <c r="R19" i="128"/>
  <c r="B20" i="128"/>
  <c r="C20" i="128"/>
  <c r="D20" i="128"/>
  <c r="E20" i="128"/>
  <c r="F20" i="128"/>
  <c r="G20" i="128"/>
  <c r="H20" i="128"/>
  <c r="I20" i="128"/>
  <c r="J20" i="128"/>
  <c r="K20" i="128"/>
  <c r="L20" i="128"/>
  <c r="M20" i="128"/>
  <c r="N20" i="128"/>
  <c r="O20" i="128"/>
  <c r="Q20" i="128"/>
  <c r="B21" i="128"/>
  <c r="C21" i="128"/>
  <c r="D21" i="128"/>
  <c r="E21" i="128"/>
  <c r="F21" i="128"/>
  <c r="G21" i="128"/>
  <c r="H21" i="128"/>
  <c r="I21" i="128"/>
  <c r="J21" i="128"/>
  <c r="K21" i="128"/>
  <c r="L21" i="128"/>
  <c r="M21" i="128"/>
  <c r="N21" i="128"/>
  <c r="O21" i="128"/>
  <c r="P21" i="128"/>
  <c r="Q21" i="128"/>
  <c r="R21" i="128"/>
  <c r="B22" i="128"/>
  <c r="C22" i="128"/>
  <c r="D22" i="128"/>
  <c r="E22" i="128"/>
  <c r="F22" i="128"/>
  <c r="G22" i="128"/>
  <c r="H22" i="128"/>
  <c r="I22" i="128"/>
  <c r="J22" i="128"/>
  <c r="K22" i="128"/>
  <c r="L22" i="128"/>
  <c r="M22" i="128"/>
  <c r="N22" i="128"/>
  <c r="O22" i="128"/>
  <c r="P22" i="128"/>
  <c r="Q22" i="128"/>
  <c r="B23" i="128"/>
  <c r="C23" i="128"/>
  <c r="D23" i="128"/>
  <c r="E23" i="128"/>
  <c r="F23" i="128"/>
  <c r="G23" i="128"/>
  <c r="H23" i="128"/>
  <c r="I23" i="128"/>
  <c r="J23" i="128"/>
  <c r="K23" i="128"/>
  <c r="L23" i="128"/>
  <c r="M23" i="128"/>
  <c r="N23" i="128"/>
  <c r="O23" i="128"/>
  <c r="P23" i="128"/>
  <c r="Q23" i="128"/>
  <c r="R23" i="128"/>
  <c r="B19" i="147"/>
  <c r="C19" i="147"/>
  <c r="D19" i="147"/>
  <c r="E19" i="147"/>
  <c r="G19" i="147"/>
  <c r="H19" i="147"/>
  <c r="I29" i="147" s="1"/>
  <c r="J29" i="147"/>
  <c r="J19" i="147"/>
  <c r="K29" i="147" s="1"/>
  <c r="K19" i="147"/>
  <c r="L29" i="147" s="1"/>
  <c r="M19" i="147"/>
  <c r="N19" i="147"/>
  <c r="O19" i="147"/>
  <c r="P29" i="147" s="1"/>
  <c r="P19" i="147"/>
  <c r="Q29" i="147" s="1"/>
  <c r="Q19" i="147"/>
  <c r="R29" i="147" s="1"/>
  <c r="R19" i="147"/>
  <c r="S29" i="147" s="1"/>
  <c r="T19" i="147"/>
  <c r="U19" i="147"/>
  <c r="B20" i="147"/>
  <c r="C20" i="147"/>
  <c r="D20" i="147"/>
  <c r="E20" i="147"/>
  <c r="G20" i="147"/>
  <c r="I30" i="147"/>
  <c r="I20" i="147"/>
  <c r="J30" i="147" s="1"/>
  <c r="J20" i="147"/>
  <c r="K30" i="147" s="1"/>
  <c r="K20" i="147"/>
  <c r="L30" i="147" s="1"/>
  <c r="M20" i="147"/>
  <c r="N20" i="147"/>
  <c r="O20" i="147"/>
  <c r="P30" i="147" s="1"/>
  <c r="P20" i="147"/>
  <c r="Q30" i="147" s="1"/>
  <c r="Q20" i="147"/>
  <c r="R30" i="147" s="1"/>
  <c r="R20" i="147"/>
  <c r="S30" i="147" s="1"/>
  <c r="T20" i="147"/>
  <c r="U20" i="147"/>
  <c r="B21" i="147"/>
  <c r="C21" i="147"/>
  <c r="D21" i="147"/>
  <c r="E21" i="147"/>
  <c r="H21" i="147"/>
  <c r="I31" i="147" s="1"/>
  <c r="I21" i="147"/>
  <c r="J31" i="147" s="1"/>
  <c r="J21" i="147"/>
  <c r="K31" i="147" s="1"/>
  <c r="K21" i="147"/>
  <c r="L31" i="147" s="1"/>
  <c r="M21" i="147"/>
  <c r="N21" i="147"/>
  <c r="O21" i="147"/>
  <c r="P31" i="147" s="1"/>
  <c r="P21" i="147"/>
  <c r="Q31" i="147" s="1"/>
  <c r="Q21" i="147"/>
  <c r="R31" i="147" s="1"/>
  <c r="R21" i="147"/>
  <c r="S31" i="147" s="1"/>
  <c r="T21" i="147"/>
  <c r="U21" i="147"/>
  <c r="B22" i="147"/>
  <c r="C22" i="147"/>
  <c r="D22" i="147"/>
  <c r="E22" i="147"/>
  <c r="G22" i="147"/>
  <c r="H22" i="147"/>
  <c r="I22" i="147"/>
  <c r="J22" i="147"/>
  <c r="K22" i="147"/>
  <c r="M22" i="147"/>
  <c r="N22" i="147"/>
  <c r="O22" i="147"/>
  <c r="P22" i="147"/>
  <c r="Q22" i="147"/>
  <c r="R22" i="147"/>
  <c r="T22" i="147"/>
  <c r="U22" i="147"/>
  <c r="C23" i="147"/>
  <c r="D23" i="147"/>
  <c r="E23" i="147"/>
  <c r="G23" i="147"/>
  <c r="I23" i="147"/>
  <c r="J23" i="147"/>
  <c r="K23" i="147"/>
  <c r="M23" i="147"/>
  <c r="N23" i="147"/>
  <c r="O23" i="147"/>
  <c r="P23" i="147"/>
  <c r="Q23" i="147"/>
  <c r="R23" i="147"/>
  <c r="T23" i="147"/>
  <c r="U23" i="147"/>
  <c r="B24" i="147"/>
  <c r="C24" i="147"/>
  <c r="D24" i="147"/>
  <c r="E24" i="147"/>
  <c r="G24" i="147"/>
  <c r="H24" i="147"/>
  <c r="I24" i="147"/>
  <c r="J24" i="147"/>
  <c r="K24" i="147"/>
  <c r="M24" i="147"/>
  <c r="N24" i="147"/>
  <c r="O24" i="147"/>
  <c r="P24" i="147"/>
  <c r="Q24" i="147"/>
  <c r="R24" i="147"/>
  <c r="T24" i="147"/>
  <c r="U24" i="147"/>
  <c r="R22" i="128" l="1"/>
  <c r="H37" i="145"/>
  <c r="J37" i="145"/>
  <c r="D37" i="145"/>
  <c r="F20" i="140" l="1"/>
  <c r="F20" i="139"/>
  <c r="F20" i="120"/>
  <c r="F18" i="140"/>
  <c r="F18" i="139"/>
  <c r="F18" i="120"/>
  <c r="F16" i="140"/>
  <c r="F16" i="139"/>
  <c r="F16" i="120"/>
  <c r="F14" i="140"/>
  <c r="F14" i="139"/>
  <c r="F14" i="120"/>
  <c r="F12" i="140"/>
  <c r="F12" i="139"/>
  <c r="F12" i="120"/>
  <c r="F10" i="140"/>
  <c r="F10" i="120"/>
  <c r="F18" i="141" l="1"/>
  <c r="F10" i="141"/>
  <c r="F10" i="139"/>
  <c r="F16" i="141" l="1"/>
  <c r="F20" i="141"/>
  <c r="F12" i="141"/>
  <c r="F14" i="141"/>
  <c r="G16" i="116" l="1"/>
  <c r="G17" i="116"/>
  <c r="G18" i="116"/>
  <c r="G19" i="116"/>
  <c r="G20" i="116"/>
  <c r="G15" i="116"/>
  <c r="G21" i="116" l="1"/>
  <c r="C18" i="147" l="1"/>
  <c r="C28" i="147" s="1"/>
  <c r="D18" i="147"/>
  <c r="D28" i="147" s="1"/>
  <c r="E18" i="147"/>
  <c r="E28" i="147" s="1"/>
  <c r="B18" i="147"/>
  <c r="B28" i="147" s="1"/>
  <c r="G8" i="141" l="1"/>
  <c r="H8" i="141"/>
  <c r="I8" i="141"/>
  <c r="J8" i="141"/>
  <c r="G9" i="141"/>
  <c r="H9" i="141"/>
  <c r="I9" i="141"/>
  <c r="J9" i="141"/>
  <c r="G10" i="141"/>
  <c r="H10" i="141"/>
  <c r="I10" i="141"/>
  <c r="J10" i="141"/>
  <c r="G11" i="141"/>
  <c r="H11" i="141"/>
  <c r="I11" i="141"/>
  <c r="J11" i="141"/>
  <c r="G12" i="141"/>
  <c r="H12" i="141"/>
  <c r="I12" i="141"/>
  <c r="J12" i="141"/>
  <c r="G13" i="141"/>
  <c r="H13" i="141"/>
  <c r="I13" i="141"/>
  <c r="J13" i="141"/>
  <c r="G14" i="141"/>
  <c r="H14" i="141"/>
  <c r="I14" i="141"/>
  <c r="J14" i="141"/>
  <c r="G15" i="141"/>
  <c r="H15" i="141"/>
  <c r="I15" i="141"/>
  <c r="J15" i="141"/>
  <c r="G16" i="141"/>
  <c r="H16" i="141"/>
  <c r="I16" i="141"/>
  <c r="J16" i="141"/>
  <c r="G17" i="141"/>
  <c r="H17" i="141"/>
  <c r="I17" i="141"/>
  <c r="J17" i="141"/>
  <c r="G18" i="141"/>
  <c r="H18" i="141"/>
  <c r="I18" i="141"/>
  <c r="J18" i="141"/>
  <c r="G19" i="141"/>
  <c r="H19" i="141"/>
  <c r="I19" i="141"/>
  <c r="J19" i="141"/>
  <c r="G20" i="141"/>
  <c r="H20" i="141"/>
  <c r="I20" i="141"/>
  <c r="J20" i="141"/>
  <c r="G21" i="141"/>
  <c r="H21" i="141"/>
  <c r="I21" i="141"/>
  <c r="J21" i="141"/>
  <c r="G22" i="141"/>
  <c r="H22" i="141"/>
  <c r="I22" i="141"/>
  <c r="J22" i="141"/>
  <c r="G23" i="141"/>
  <c r="H23" i="141"/>
  <c r="I23" i="141"/>
  <c r="J23" i="141"/>
  <c r="G7" i="141"/>
  <c r="J7" i="141"/>
  <c r="I7" i="141"/>
  <c r="H7" i="141"/>
  <c r="K18" i="141" l="1"/>
  <c r="K16" i="141"/>
  <c r="K8" i="141"/>
  <c r="K13" i="141"/>
  <c r="K11" i="141"/>
  <c r="K23" i="141"/>
  <c r="K21" i="141"/>
  <c r="K19" i="141"/>
  <c r="K17" i="141"/>
  <c r="K14" i="141"/>
  <c r="K22" i="141"/>
  <c r="K15" i="141"/>
  <c r="K12" i="141"/>
  <c r="K10" i="141"/>
  <c r="K9" i="141"/>
  <c r="K20" i="141"/>
  <c r="K7" i="141"/>
  <c r="C10" i="141" l="1"/>
  <c r="D10" i="141"/>
  <c r="C12" i="141"/>
  <c r="D12" i="141"/>
  <c r="C14" i="141"/>
  <c r="D14" i="141"/>
  <c r="C16" i="141"/>
  <c r="D16" i="141"/>
  <c r="C18" i="141"/>
  <c r="D18" i="141"/>
  <c r="C20" i="141"/>
  <c r="D20" i="141"/>
  <c r="C7" i="140"/>
  <c r="D7" i="140"/>
  <c r="C8" i="140"/>
  <c r="D8" i="140"/>
  <c r="C9" i="140"/>
  <c r="D9" i="140"/>
  <c r="C10" i="140"/>
  <c r="D10" i="140"/>
  <c r="C11" i="140"/>
  <c r="D11" i="140"/>
  <c r="C12" i="140"/>
  <c r="D12" i="140"/>
  <c r="C13" i="140"/>
  <c r="D13" i="140"/>
  <c r="C14" i="140"/>
  <c r="D14" i="140"/>
  <c r="C15" i="140"/>
  <c r="D15" i="140"/>
  <c r="C16" i="140"/>
  <c r="D16" i="140"/>
  <c r="C17" i="140"/>
  <c r="D17" i="140"/>
  <c r="C18" i="140"/>
  <c r="D18" i="140"/>
  <c r="C19" i="140"/>
  <c r="D19" i="140"/>
  <c r="C20" i="140"/>
  <c r="D20" i="140"/>
  <c r="B20" i="140"/>
  <c r="B19" i="140"/>
  <c r="B18" i="140"/>
  <c r="B17" i="140"/>
  <c r="B16" i="140"/>
  <c r="B15" i="140"/>
  <c r="B14" i="140"/>
  <c r="B13" i="140"/>
  <c r="B12" i="140"/>
  <c r="B11" i="140"/>
  <c r="B10" i="140"/>
  <c r="B9" i="140"/>
  <c r="B8" i="140"/>
  <c r="B7" i="140"/>
  <c r="C7" i="139"/>
  <c r="D7" i="139"/>
  <c r="C8" i="139"/>
  <c r="D8" i="139"/>
  <c r="C9" i="139"/>
  <c r="D9" i="139"/>
  <c r="C10" i="139"/>
  <c r="D10" i="139"/>
  <c r="C11" i="139"/>
  <c r="D11" i="139"/>
  <c r="C12" i="139"/>
  <c r="D12" i="139"/>
  <c r="C13" i="139"/>
  <c r="D13" i="139"/>
  <c r="C14" i="139"/>
  <c r="D14" i="139"/>
  <c r="C15" i="139"/>
  <c r="D15" i="139"/>
  <c r="C16" i="139"/>
  <c r="D16" i="139"/>
  <c r="C17" i="139"/>
  <c r="D17" i="139"/>
  <c r="C18" i="139"/>
  <c r="D18" i="139"/>
  <c r="C19" i="139"/>
  <c r="D19" i="139"/>
  <c r="C20" i="139"/>
  <c r="D20" i="139"/>
  <c r="B20" i="139"/>
  <c r="B19" i="139"/>
  <c r="B18" i="139"/>
  <c r="B17" i="139"/>
  <c r="B16" i="139"/>
  <c r="B15" i="139"/>
  <c r="B14" i="139"/>
  <c r="B13" i="139"/>
  <c r="B12" i="139"/>
  <c r="B11" i="139"/>
  <c r="B10" i="139"/>
  <c r="B9" i="139"/>
  <c r="B8" i="139"/>
  <c r="B7" i="139"/>
  <c r="C7" i="120"/>
  <c r="D7" i="120"/>
  <c r="C8" i="120"/>
  <c r="D8" i="120"/>
  <c r="C9" i="120"/>
  <c r="D9" i="120"/>
  <c r="C10" i="120"/>
  <c r="D10" i="120"/>
  <c r="C11" i="120"/>
  <c r="D11" i="120"/>
  <c r="C12" i="120"/>
  <c r="D12" i="120"/>
  <c r="C13" i="120"/>
  <c r="D13" i="120"/>
  <c r="C14" i="120"/>
  <c r="D14" i="120"/>
  <c r="C15" i="120"/>
  <c r="D15" i="120"/>
  <c r="C16" i="120"/>
  <c r="D16" i="120"/>
  <c r="C17" i="120"/>
  <c r="D17" i="120"/>
  <c r="C18" i="120"/>
  <c r="D18" i="120"/>
  <c r="C19" i="120"/>
  <c r="D19" i="120"/>
  <c r="C20" i="120"/>
  <c r="D20" i="120"/>
  <c r="B20" i="120"/>
  <c r="B19" i="120"/>
  <c r="B18" i="120"/>
  <c r="B17" i="120"/>
  <c r="B16" i="120"/>
  <c r="B15" i="120"/>
  <c r="B14" i="120"/>
  <c r="B13" i="120"/>
  <c r="B12" i="120"/>
  <c r="B11" i="120"/>
  <c r="B10" i="120"/>
  <c r="B9" i="120"/>
  <c r="B8" i="120"/>
  <c r="B7" i="120"/>
  <c r="B21" i="120" l="1"/>
  <c r="D21" i="120"/>
  <c r="E7" i="120" s="1"/>
  <c r="C21" i="120"/>
  <c r="Q27" i="147" l="1"/>
  <c r="R27" i="147"/>
  <c r="P27" i="147"/>
  <c r="O29" i="147"/>
  <c r="O30" i="147"/>
  <c r="O31" i="147"/>
  <c r="O28" i="147"/>
  <c r="J27" i="147"/>
  <c r="I27" i="147"/>
  <c r="H29" i="147"/>
  <c r="H30" i="147"/>
  <c r="H31" i="147"/>
  <c r="H28" i="147"/>
  <c r="T18" i="147" l="1"/>
  <c r="M18" i="147"/>
  <c r="R18" i="147"/>
  <c r="S28" i="147" s="1"/>
  <c r="Q18" i="147"/>
  <c r="R28" i="147" s="1"/>
  <c r="P18" i="147"/>
  <c r="Q28" i="147" s="1"/>
  <c r="O18" i="147"/>
  <c r="P28" i="147" s="1"/>
  <c r="K18" i="147"/>
  <c r="L28" i="147" s="1"/>
  <c r="J18" i="147"/>
  <c r="K28" i="147" s="1"/>
  <c r="I18" i="147"/>
  <c r="J28" i="147" s="1"/>
  <c r="H18" i="147"/>
  <c r="I28" i="147" s="1"/>
  <c r="U18" i="147" l="1"/>
  <c r="K6" i="146" l="1"/>
  <c r="H6" i="146" l="1"/>
  <c r="M6" i="146"/>
  <c r="I6" i="146"/>
  <c r="C6" i="146"/>
  <c r="E6" i="146"/>
  <c r="E39" i="145"/>
  <c r="F45" i="145"/>
  <c r="J40" i="145"/>
  <c r="I40" i="145"/>
  <c r="I47" i="145"/>
  <c r="I39" i="145"/>
  <c r="I46" i="145"/>
  <c r="I38" i="145"/>
  <c r="H38" i="145"/>
  <c r="E40" i="145"/>
  <c r="F47" i="145" s="1"/>
  <c r="F39" i="145"/>
  <c r="D40" i="145"/>
  <c r="C38" i="145"/>
  <c r="C39" i="145"/>
  <c r="C40" i="145"/>
  <c r="B40" i="145"/>
  <c r="C47" i="145" s="1"/>
  <c r="C46" i="145"/>
  <c r="B38" i="145"/>
  <c r="I37" i="145"/>
  <c r="F37" i="145"/>
  <c r="E37" i="145"/>
  <c r="C37" i="145"/>
  <c r="B37" i="145"/>
  <c r="H41" i="145"/>
  <c r="E41" i="145"/>
  <c r="H29" i="179" l="1"/>
  <c r="H30" i="179"/>
  <c r="G39" i="145"/>
  <c r="E30" i="179"/>
  <c r="C45" i="145"/>
  <c r="E29" i="179"/>
  <c r="I45" i="145"/>
  <c r="J38" i="145"/>
  <c r="D39" i="145"/>
  <c r="J39" i="145"/>
  <c r="D38" i="145"/>
  <c r="L6" i="146"/>
  <c r="F6" i="146"/>
  <c r="J6" i="146"/>
  <c r="F46" i="145"/>
  <c r="I4" i="113"/>
  <c r="I4" i="112"/>
  <c r="I4" i="111"/>
  <c r="I4" i="110"/>
  <c r="I4" i="109"/>
  <c r="I4" i="108"/>
  <c r="I4" i="107"/>
  <c r="K5" i="105"/>
  <c r="J5" i="105"/>
  <c r="I5" i="105"/>
  <c r="H5" i="105"/>
  <c r="A38" i="116"/>
  <c r="I4" i="116"/>
  <c r="D21" i="140"/>
  <c r="D23" i="140" s="1"/>
  <c r="C21" i="140"/>
  <c r="C23" i="140" s="1"/>
  <c r="B21" i="140"/>
  <c r="B23" i="140" s="1"/>
  <c r="D21" i="139"/>
  <c r="D23" i="139" s="1"/>
  <c r="C21" i="139"/>
  <c r="C23" i="139" s="1"/>
  <c r="B21" i="139"/>
  <c r="B23" i="139" s="1"/>
  <c r="E7" i="140" l="1"/>
  <c r="E9" i="140"/>
  <c r="E14" i="140"/>
  <c r="E19" i="140"/>
  <c r="E10" i="140"/>
  <c r="E15" i="140"/>
  <c r="E13" i="140"/>
  <c r="E18" i="140"/>
  <c r="E11" i="140"/>
  <c r="E17" i="140"/>
  <c r="E10" i="139"/>
  <c r="E11" i="139"/>
  <c r="E19" i="139"/>
  <c r="E9" i="139"/>
  <c r="E13" i="139"/>
  <c r="E17" i="139"/>
  <c r="E14" i="139"/>
  <c r="E18" i="139"/>
  <c r="E7" i="139"/>
  <c r="E15" i="139"/>
  <c r="E8" i="139"/>
  <c r="E12" i="139"/>
  <c r="E16" i="139"/>
  <c r="E8" i="140"/>
  <c r="E12" i="140"/>
  <c r="E16" i="140"/>
  <c r="E20" i="140"/>
  <c r="E20" i="139"/>
  <c r="G38" i="116"/>
  <c r="J42" i="116"/>
  <c r="I42" i="116"/>
  <c r="H45" i="116"/>
  <c r="H44" i="116"/>
  <c r="H43" i="116"/>
  <c r="D42" i="116"/>
  <c r="C42" i="116"/>
  <c r="B45" i="116"/>
  <c r="B44" i="116"/>
  <c r="B43" i="116"/>
  <c r="D32" i="133"/>
  <c r="D33" i="133"/>
  <c r="D34" i="133"/>
  <c r="F30" i="133"/>
  <c r="G30" i="133"/>
  <c r="H30" i="133"/>
  <c r="E30" i="133"/>
  <c r="D31" i="133"/>
  <c r="C19" i="133"/>
  <c r="F33" i="133" s="1"/>
  <c r="K22" i="133"/>
  <c r="K18" i="133"/>
  <c r="F18" i="133"/>
  <c r="F22" i="133"/>
  <c r="J23" i="133"/>
  <c r="I23" i="133"/>
  <c r="H23" i="133"/>
  <c r="G23" i="133"/>
  <c r="E23" i="133"/>
  <c r="D23" i="133"/>
  <c r="C23" i="133"/>
  <c r="B23" i="133"/>
  <c r="J22" i="133"/>
  <c r="I22" i="133"/>
  <c r="H22" i="133"/>
  <c r="G22" i="133"/>
  <c r="E22" i="133"/>
  <c r="D22" i="133"/>
  <c r="C22" i="133"/>
  <c r="B22" i="133"/>
  <c r="J21" i="133"/>
  <c r="I21" i="133"/>
  <c r="H21" i="133"/>
  <c r="G21" i="133"/>
  <c r="E21" i="133"/>
  <c r="D21" i="133"/>
  <c r="C21" i="133"/>
  <c r="B21" i="133"/>
  <c r="K20" i="133"/>
  <c r="J20" i="133"/>
  <c r="I20" i="133"/>
  <c r="H20" i="133"/>
  <c r="G20" i="133"/>
  <c r="E20" i="133"/>
  <c r="H34" i="133" s="1"/>
  <c r="D20" i="133"/>
  <c r="G34" i="133" s="1"/>
  <c r="C20" i="133"/>
  <c r="F34" i="133" s="1"/>
  <c r="B20" i="133"/>
  <c r="E34" i="133" s="1"/>
  <c r="J19" i="133"/>
  <c r="I19" i="133"/>
  <c r="H19" i="133"/>
  <c r="G19" i="133"/>
  <c r="E19" i="133"/>
  <c r="H33" i="133" s="1"/>
  <c r="D19" i="133"/>
  <c r="G33" i="133" s="1"/>
  <c r="B19" i="133"/>
  <c r="E33" i="133" s="1"/>
  <c r="J18" i="133"/>
  <c r="I18" i="133"/>
  <c r="H18" i="133"/>
  <c r="G18" i="133"/>
  <c r="E18" i="133"/>
  <c r="H32" i="133" s="1"/>
  <c r="D18" i="133"/>
  <c r="G32" i="133" s="1"/>
  <c r="C18" i="133"/>
  <c r="F32" i="133" s="1"/>
  <c r="B18" i="133"/>
  <c r="E32" i="133" s="1"/>
  <c r="J17" i="133"/>
  <c r="I17" i="133"/>
  <c r="H17" i="133"/>
  <c r="G17" i="133"/>
  <c r="E17" i="133"/>
  <c r="H31" i="133" s="1"/>
  <c r="D17" i="133"/>
  <c r="G31" i="133" s="1"/>
  <c r="C17" i="133"/>
  <c r="F31" i="133" s="1"/>
  <c r="B17" i="133"/>
  <c r="E31" i="133" s="1"/>
  <c r="F20" i="133" l="1"/>
  <c r="E21" i="139"/>
  <c r="E21" i="140"/>
  <c r="K23" i="133"/>
  <c r="K21" i="133"/>
  <c r="K19" i="133"/>
  <c r="K17" i="133"/>
  <c r="F19" i="133"/>
  <c r="F23" i="133"/>
  <c r="F17" i="133"/>
  <c r="F21" i="133"/>
  <c r="B17" i="128"/>
  <c r="R17" i="128"/>
  <c r="Q17" i="128"/>
  <c r="P17" i="128"/>
  <c r="O17" i="128"/>
  <c r="N17" i="128"/>
  <c r="M17" i="128"/>
  <c r="L17" i="128"/>
  <c r="K17" i="128"/>
  <c r="J17" i="128"/>
  <c r="I17" i="128"/>
  <c r="H17" i="128"/>
  <c r="G17" i="128"/>
  <c r="F17" i="128"/>
  <c r="E17" i="128"/>
  <c r="D17" i="128"/>
  <c r="C17" i="128"/>
  <c r="C24" i="122" l="1"/>
  <c r="C23" i="122"/>
  <c r="C22" i="122"/>
  <c r="C21" i="122"/>
  <c r="C20" i="122"/>
  <c r="C18" i="122"/>
  <c r="S24" i="122"/>
  <c r="R24" i="122"/>
  <c r="Q24" i="122"/>
  <c r="N24" i="122"/>
  <c r="M24" i="122"/>
  <c r="L24" i="122"/>
  <c r="K24" i="122"/>
  <c r="S23" i="122"/>
  <c r="R23" i="122"/>
  <c r="Q23" i="122"/>
  <c r="P23" i="122"/>
  <c r="N23" i="122"/>
  <c r="M23" i="122"/>
  <c r="L23" i="122"/>
  <c r="K23" i="122"/>
  <c r="S22" i="122"/>
  <c r="R22" i="122"/>
  <c r="Q22" i="122"/>
  <c r="N22" i="122"/>
  <c r="M22" i="122"/>
  <c r="L22" i="122"/>
  <c r="K22" i="122"/>
  <c r="R21" i="122"/>
  <c r="Q21" i="122"/>
  <c r="N21" i="122"/>
  <c r="M21" i="122"/>
  <c r="L21" i="122"/>
  <c r="K21" i="122"/>
  <c r="S20" i="122"/>
  <c r="R20" i="122"/>
  <c r="Q20" i="122"/>
  <c r="N20" i="122"/>
  <c r="M20" i="122"/>
  <c r="L20" i="122"/>
  <c r="K20" i="122"/>
  <c r="S19" i="122"/>
  <c r="R19" i="122"/>
  <c r="Q19" i="122"/>
  <c r="P19" i="122"/>
  <c r="N19" i="122"/>
  <c r="M19" i="122"/>
  <c r="L19" i="122"/>
  <c r="K19" i="122"/>
  <c r="S18" i="122"/>
  <c r="Q18" i="122"/>
  <c r="N18" i="122"/>
  <c r="M18" i="122"/>
  <c r="K18" i="122"/>
  <c r="P21" i="122"/>
  <c r="O21" i="122"/>
  <c r="P20" i="122"/>
  <c r="O20" i="122"/>
  <c r="O23" i="122"/>
  <c r="P24" i="122"/>
  <c r="O24" i="122"/>
  <c r="P22" i="122"/>
  <c r="O22" i="122"/>
  <c r="J24" i="122"/>
  <c r="I24" i="122"/>
  <c r="H24" i="122"/>
  <c r="E24" i="122"/>
  <c r="D24" i="122"/>
  <c r="B24" i="122"/>
  <c r="J23" i="122"/>
  <c r="I23" i="122"/>
  <c r="H23" i="122"/>
  <c r="E23" i="122"/>
  <c r="D23" i="122"/>
  <c r="B23" i="122"/>
  <c r="J22" i="122"/>
  <c r="I22" i="122"/>
  <c r="H22" i="122"/>
  <c r="E22" i="122"/>
  <c r="D22" i="122"/>
  <c r="J21" i="122"/>
  <c r="I21" i="122"/>
  <c r="H21" i="122"/>
  <c r="E21" i="122"/>
  <c r="D21" i="122"/>
  <c r="B21" i="122"/>
  <c r="J20" i="122"/>
  <c r="H20" i="122"/>
  <c r="E20" i="122"/>
  <c r="D20" i="122"/>
  <c r="J19" i="122"/>
  <c r="I19" i="122"/>
  <c r="H19" i="122"/>
  <c r="E19" i="122"/>
  <c r="D19" i="122"/>
  <c r="J18" i="122"/>
  <c r="I18" i="122"/>
  <c r="H18" i="122"/>
  <c r="E18" i="122"/>
  <c r="G21" i="122"/>
  <c r="G20" i="122"/>
  <c r="G19" i="122"/>
  <c r="G24" i="122"/>
  <c r="O18" i="122" l="1"/>
  <c r="P18" i="122"/>
  <c r="F24" i="122"/>
  <c r="G22" i="122"/>
  <c r="F19" i="122"/>
  <c r="F21" i="122"/>
  <c r="F23" i="122"/>
  <c r="G23" i="122"/>
  <c r="F18" i="122"/>
  <c r="F20" i="122"/>
  <c r="F22" i="122"/>
  <c r="B23" i="120" l="1"/>
  <c r="C23" i="120"/>
  <c r="E10" i="120" l="1"/>
  <c r="E13" i="120"/>
  <c r="E20" i="120"/>
  <c r="E19" i="120"/>
  <c r="E12" i="120"/>
  <c r="E17" i="120"/>
  <c r="E9" i="120"/>
  <c r="D23" i="120"/>
  <c r="E15" i="120"/>
  <c r="E8" i="120"/>
  <c r="E16" i="120"/>
  <c r="E11" i="120"/>
  <c r="E18" i="120"/>
  <c r="E14" i="120"/>
  <c r="E21" i="120" l="1"/>
  <c r="E30" i="116"/>
  <c r="F34" i="116" l="1"/>
  <c r="E34" i="116"/>
  <c r="F30" i="116"/>
  <c r="E31" i="116"/>
  <c r="F31" i="116"/>
  <c r="F32" i="116"/>
  <c r="F29" i="116"/>
  <c r="D30" i="116"/>
  <c r="D31" i="116"/>
  <c r="D32" i="116"/>
  <c r="D29" i="116"/>
  <c r="E29" i="116"/>
  <c r="H27" i="116"/>
  <c r="F22" i="140" s="1"/>
  <c r="D45" i="116"/>
  <c r="H25" i="116"/>
  <c r="H24" i="116"/>
  <c r="H23" i="116"/>
  <c r="H22" i="116"/>
  <c r="H20" i="116"/>
  <c r="F22" i="139" s="1"/>
  <c r="D44" i="116"/>
  <c r="H18" i="116"/>
  <c r="H17" i="116"/>
  <c r="H16" i="116"/>
  <c r="H15" i="116"/>
  <c r="H9" i="116"/>
  <c r="H10" i="116"/>
  <c r="H11" i="116"/>
  <c r="F22" i="120"/>
  <c r="H8" i="116"/>
  <c r="C22" i="141" l="1"/>
  <c r="D22" i="141"/>
  <c r="E35" i="116"/>
  <c r="D35" i="116"/>
  <c r="E38" i="179" s="1"/>
  <c r="F35" i="116"/>
  <c r="H34" i="116"/>
  <c r="F22" i="141" s="1"/>
  <c r="H30" i="116"/>
  <c r="H32" i="116"/>
  <c r="H21" i="116"/>
  <c r="F11" i="161" s="1"/>
  <c r="C44" i="116"/>
  <c r="H31" i="116"/>
  <c r="H29" i="116"/>
  <c r="D11" i="163" l="1"/>
  <c r="B11" i="163"/>
  <c r="C11" i="163"/>
  <c r="E10" i="163" s="1"/>
  <c r="E36" i="179" s="1"/>
  <c r="F23" i="139"/>
  <c r="G23" i="116"/>
  <c r="G27" i="116"/>
  <c r="G24" i="116"/>
  <c r="G22" i="116"/>
  <c r="G25" i="116"/>
  <c r="G26" i="116"/>
  <c r="D43" i="116"/>
  <c r="D46" i="116" s="1"/>
  <c r="J43" i="116"/>
  <c r="J44" i="116"/>
  <c r="J45" i="116"/>
  <c r="H28" i="116"/>
  <c r="F11" i="162" s="1"/>
  <c r="C45" i="116"/>
  <c r="C43" i="116"/>
  <c r="F11" i="126"/>
  <c r="E7" i="163" l="1"/>
  <c r="E33" i="179" s="1"/>
  <c r="E9" i="163"/>
  <c r="E35" i="179" s="1"/>
  <c r="E8" i="163"/>
  <c r="G28" i="116"/>
  <c r="F23" i="140"/>
  <c r="C46" i="116"/>
  <c r="I43" i="116"/>
  <c r="G30" i="116"/>
  <c r="G32" i="116"/>
  <c r="G34" i="116"/>
  <c r="G29" i="116"/>
  <c r="G31" i="116"/>
  <c r="G33" i="116"/>
  <c r="J46" i="116"/>
  <c r="H35" i="116"/>
  <c r="F11" i="163" s="1"/>
  <c r="I45" i="116"/>
  <c r="I44" i="116"/>
  <c r="E11" i="163" l="1"/>
  <c r="E34" i="179"/>
  <c r="G35" i="116"/>
  <c r="F23" i="141"/>
  <c r="I46" i="116"/>
  <c r="F15" i="140"/>
  <c r="F15" i="139"/>
  <c r="F15" i="120"/>
  <c r="F13" i="140"/>
  <c r="F13" i="139"/>
  <c r="F13" i="120"/>
  <c r="E28" i="107"/>
  <c r="F28" i="107"/>
  <c r="E29" i="107"/>
  <c r="F29" i="107"/>
  <c r="E30" i="107"/>
  <c r="F30" i="107"/>
  <c r="F27" i="107"/>
  <c r="E27" i="107"/>
  <c r="D28" i="107"/>
  <c r="D29" i="107"/>
  <c r="F32" i="107" l="1"/>
  <c r="D32" i="107"/>
  <c r="B7" i="141" s="1"/>
  <c r="E32" i="107"/>
  <c r="B15" i="141"/>
  <c r="D15" i="141"/>
  <c r="C9" i="141"/>
  <c r="B8" i="141"/>
  <c r="B17" i="141"/>
  <c r="B13" i="141"/>
  <c r="D13" i="141"/>
  <c r="D19" i="141"/>
  <c r="B18" i="141"/>
  <c r="D17" i="141"/>
  <c r="B16" i="141"/>
  <c r="B14" i="141"/>
  <c r="B12" i="141"/>
  <c r="D11" i="141"/>
  <c r="B11" i="141"/>
  <c r="F11" i="141"/>
  <c r="C11" i="141"/>
  <c r="B10" i="141"/>
  <c r="D9" i="141"/>
  <c r="B9" i="141"/>
  <c r="D8" i="141"/>
  <c r="F8" i="140"/>
  <c r="B19" i="141"/>
  <c r="B20" i="141"/>
  <c r="F19" i="120"/>
  <c r="F19" i="139"/>
  <c r="F19" i="140"/>
  <c r="C19" i="141"/>
  <c r="F17" i="120"/>
  <c r="F17" i="139"/>
  <c r="F17" i="140"/>
  <c r="F11" i="120"/>
  <c r="F11" i="139"/>
  <c r="F11" i="140"/>
  <c r="F9" i="120"/>
  <c r="F9" i="139"/>
  <c r="F9" i="140"/>
  <c r="D7" i="141"/>
  <c r="F8" i="139"/>
  <c r="F8" i="120"/>
  <c r="H18" i="107"/>
  <c r="H12" i="107"/>
  <c r="H24" i="107"/>
  <c r="H27" i="107"/>
  <c r="H11" i="107"/>
  <c r="H17" i="107"/>
  <c r="H23" i="107"/>
  <c r="H26" i="107"/>
  <c r="F7" i="140" s="1"/>
  <c r="H28" i="107"/>
  <c r="H10" i="107"/>
  <c r="F7" i="120"/>
  <c r="H16" i="107"/>
  <c r="H20" i="107"/>
  <c r="F7" i="139" s="1"/>
  <c r="H22" i="107"/>
  <c r="H29" i="107"/>
  <c r="H15" i="107"/>
  <c r="H21" i="107"/>
  <c r="H30" i="107"/>
  <c r="H32" i="107" l="1"/>
  <c r="F7" i="141" s="1"/>
  <c r="G31" i="107"/>
  <c r="C7" i="141"/>
  <c r="F9" i="141"/>
  <c r="F8" i="141"/>
  <c r="F17" i="141"/>
  <c r="C17" i="141"/>
  <c r="F15" i="141"/>
  <c r="C15" i="141"/>
  <c r="B21" i="141"/>
  <c r="B23" i="141" s="1"/>
  <c r="F13" i="141"/>
  <c r="C13" i="141"/>
  <c r="D21" i="141"/>
  <c r="E8" i="141" s="1"/>
  <c r="C8" i="141"/>
  <c r="F19" i="141"/>
  <c r="G28" i="107"/>
  <c r="G30" i="107"/>
  <c r="G29" i="107"/>
  <c r="G27" i="107"/>
  <c r="G32" i="107" l="1"/>
  <c r="C21" i="141"/>
  <c r="C23" i="141" s="1"/>
  <c r="E17" i="141"/>
  <c r="E7" i="141"/>
  <c r="E18" i="141"/>
  <c r="E13" i="141"/>
  <c r="E14" i="141"/>
  <c r="E12" i="141"/>
  <c r="E15" i="141"/>
  <c r="E11" i="141"/>
  <c r="E10" i="141"/>
  <c r="E16" i="141"/>
  <c r="E9" i="141"/>
  <c r="E19" i="141"/>
  <c r="E20" i="141"/>
  <c r="D23" i="141"/>
  <c r="E21" i="141" l="1"/>
</calcChain>
</file>

<file path=xl/sharedStrings.xml><?xml version="1.0" encoding="utf-8"?>
<sst xmlns="http://schemas.openxmlformats.org/spreadsheetml/2006/main" count="1545" uniqueCount="326">
  <si>
    <t>Celkem</t>
  </si>
  <si>
    <t>Praha</t>
  </si>
  <si>
    <t>Česká republika</t>
  </si>
  <si>
    <t>Celkem ČR</t>
  </si>
  <si>
    <t>VO</t>
  </si>
  <si>
    <t>SO</t>
  </si>
  <si>
    <t>MO</t>
  </si>
  <si>
    <t>DOM</t>
  </si>
  <si>
    <t>Jihočeský</t>
  </si>
  <si>
    <t>Jihomoravský</t>
  </si>
  <si>
    <t>Karlovarský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</si>
  <si>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</si>
  <si>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</si>
  <si>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</si>
  <si>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</si>
  <si>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</si>
  <si>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</si>
  <si>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</si>
  <si>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</si>
  <si>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</si>
  <si>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do ČR</t>
  </si>
  <si>
    <t>z ČR</t>
  </si>
  <si>
    <t>přes HPS</t>
  </si>
  <si>
    <t>přes PPL</t>
  </si>
  <si>
    <t>celkem</t>
  </si>
  <si>
    <t>ze ZP</t>
  </si>
  <si>
    <t>do ZP</t>
  </si>
  <si>
    <t>z VP do DS</t>
  </si>
  <si>
    <t>ostatní plyn</t>
  </si>
  <si>
    <t>celkem ČR</t>
  </si>
  <si>
    <t>VS</t>
  </si>
  <si>
    <t>Ostatní společnosti</t>
  </si>
  <si>
    <t>Podíl</t>
  </si>
  <si>
    <t>Ostatní společnosti *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</si>
  <si>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</si>
  <si>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</si>
  <si>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</si>
  <si>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</si>
  <si>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</si>
  <si>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</si>
  <si>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 xml:space="preserve">Olomoucký kraj </t>
  </si>
  <si>
    <t xml:space="preserve">Pardubický kraj </t>
  </si>
  <si>
    <t>Plzeňský kraj</t>
  </si>
  <si>
    <t>Středočeský kraj</t>
  </si>
  <si>
    <t xml:space="preserve">Ústecký kraj </t>
  </si>
  <si>
    <t>Kraj Vysočina</t>
  </si>
  <si>
    <t>Zlínský kraj</t>
  </si>
  <si>
    <t>I. čtvrtletí</t>
  </si>
  <si>
    <t>Tok plynu do/z plynárenské soustavy ČR</t>
  </si>
  <si>
    <t>Výroba plynu 
v ČR</t>
  </si>
  <si>
    <t>saldo 
do/z ČR</t>
  </si>
  <si>
    <t>saldo 
ze/do ZP</t>
  </si>
  <si>
    <t>spotřeba 
v RDS</t>
  </si>
  <si>
    <t>stav zásob v ZP celkem</t>
  </si>
  <si>
    <t>Celkem v ČR</t>
  </si>
  <si>
    <t>II. čtvrtletí</t>
  </si>
  <si>
    <t>IV. čtvrtletí</t>
  </si>
  <si>
    <t>I. pololetí</t>
  </si>
  <si>
    <t>II. pololetí</t>
  </si>
  <si>
    <t>Spotřeba plynu</t>
  </si>
  <si>
    <t xml:space="preserve">       Průměrná teplota ovzduší podle krajů (°C)</t>
  </si>
  <si>
    <t>Průměr</t>
  </si>
  <si>
    <t>III. čtvrtletí</t>
  </si>
  <si>
    <t>Spotřeba plynu
v ČR</t>
  </si>
  <si>
    <t>Maximální a minimální teplota ovzduší 
podle území plynárenských společností (°C)</t>
  </si>
  <si>
    <t>zákazníci</t>
  </si>
  <si>
    <t xml:space="preserve"> Jihočeský</t>
  </si>
  <si>
    <t xml:space="preserve"> Jihomoravský</t>
  </si>
  <si>
    <t xml:space="preserve"> Karlovarský</t>
  </si>
  <si>
    <t xml:space="preserve"> Liberecký</t>
  </si>
  <si>
    <t xml:space="preserve"> Moravskoslezský</t>
  </si>
  <si>
    <t xml:space="preserve"> Olomoucký</t>
  </si>
  <si>
    <t xml:space="preserve"> Pardubický</t>
  </si>
  <si>
    <t xml:space="preserve"> Plzeňský</t>
  </si>
  <si>
    <t xml:space="preserve"> Praha</t>
  </si>
  <si>
    <t xml:space="preserve"> Středočeský</t>
  </si>
  <si>
    <t xml:space="preserve"> Ústecký</t>
  </si>
  <si>
    <t xml:space="preserve"> Vysočina</t>
  </si>
  <si>
    <t xml:space="preserve"> Zlínský</t>
  </si>
  <si>
    <t xml:space="preserve"> Celkem</t>
  </si>
  <si>
    <t xml:space="preserve"> Celkem ČR</t>
  </si>
  <si>
    <t xml:space="preserve"> Ostatní společnosti</t>
  </si>
  <si>
    <t>zákazníci připojeni přímo k PS</t>
  </si>
  <si>
    <t>výroba plynu (VS)</t>
  </si>
  <si>
    <t>GasNet</t>
  </si>
  <si>
    <t>GasNet, s.r.o.</t>
  </si>
  <si>
    <t xml:space="preserve"> GasNet</t>
  </si>
  <si>
    <t>Hlavní město Praha</t>
  </si>
  <si>
    <t xml:space="preserve"> Královéhradecký</t>
  </si>
  <si>
    <t>Královéhradecký</t>
  </si>
  <si>
    <t>CNG</t>
  </si>
  <si>
    <t>OP+VS+PKS</t>
  </si>
  <si>
    <t xml:space="preserve"> OP+VS+PKS</t>
  </si>
  <si>
    <t>VS+PKS</t>
  </si>
  <si>
    <t>Bilanční rozdíl v PS</t>
  </si>
  <si>
    <t>Compressed Natural Gas (stlačený zemní plyn)</t>
  </si>
  <si>
    <t>ČHMÚ</t>
  </si>
  <si>
    <t>Český hydrometeorologický ústav</t>
  </si>
  <si>
    <t>Domácnosti (kategorie zákazníků)</t>
  </si>
  <si>
    <t>DS</t>
  </si>
  <si>
    <t>Distribuční soustava</t>
  </si>
  <si>
    <t>DTG</t>
  </si>
  <si>
    <t>Denní teplotní gradient (změna spotřeby plynu při jednotkové změně teploty)</t>
  </si>
  <si>
    <t>HPS</t>
  </si>
  <si>
    <t>Hraniční předávací stanice</t>
  </si>
  <si>
    <t>KS</t>
  </si>
  <si>
    <t>Kompresní stanice</t>
  </si>
  <si>
    <t>LDS</t>
  </si>
  <si>
    <t>Lokální distribuční soustava</t>
  </si>
  <si>
    <t>Maloodběratelé (kategorie zákazníků)</t>
  </si>
  <si>
    <t>NET4GAS</t>
  </si>
  <si>
    <t>Normál</t>
  </si>
  <si>
    <t>Dlouhodobý teplotní normál vytvořený pro plynárenství ČHMÚ</t>
  </si>
  <si>
    <t>Odchylka</t>
  </si>
  <si>
    <t>Odchylka průměrné teploty od dlouhodobého teplotního normálu</t>
  </si>
  <si>
    <t>OP</t>
  </si>
  <si>
    <t>Ostatní plyn (zahrnuje vlastní spotřebu, ztráty a změnu akumulace na distribučních soustavách)</t>
  </si>
  <si>
    <t>NET4GAS, s.r.o., všechny LDS, výrobci plynu</t>
  </si>
  <si>
    <t>PDS</t>
  </si>
  <si>
    <t>Provozovatelé distribučních soustav</t>
  </si>
  <si>
    <t>PKS</t>
  </si>
  <si>
    <t>Plyn pro pohon kompresních stanic na přepravní soustavě</t>
  </si>
  <si>
    <t>POD</t>
  </si>
  <si>
    <t>Podnikatelé</t>
  </si>
  <si>
    <t>PPE</t>
  </si>
  <si>
    <t>Paroplynová elektrárna</t>
  </si>
  <si>
    <t>PPL</t>
  </si>
  <si>
    <t>Přeshraniční plynovod</t>
  </si>
  <si>
    <t>PPS</t>
  </si>
  <si>
    <t>Provozovatel přepravní soustavy</t>
  </si>
  <si>
    <t>Přepočet</t>
  </si>
  <si>
    <t>PS</t>
  </si>
  <si>
    <t>Přepravní soustava</t>
  </si>
  <si>
    <t>RDS</t>
  </si>
  <si>
    <t>Regionální distribuční soustava</t>
  </si>
  <si>
    <t>Skutečnost</t>
  </si>
  <si>
    <t>Skutečně naměřená spotřeba zemního plynu</t>
  </si>
  <si>
    <t>Střední odběratelé (kategorie zákazníků)</t>
  </si>
  <si>
    <t>Velkoodběratelé (kategorie zákazníků)</t>
  </si>
  <si>
    <t>VP</t>
  </si>
  <si>
    <t>Výroba plynu</t>
  </si>
  <si>
    <t>Vlastní spotřeba výrobců plynu</t>
  </si>
  <si>
    <t>Zákazníci</t>
  </si>
  <si>
    <t>Spotřeba plynu zákazníků ve všech kategoriích odběru</t>
  </si>
  <si>
    <t>ZP</t>
  </si>
  <si>
    <t>Zásobník plynu</t>
  </si>
  <si>
    <t>Přepočtená spotřeba zemního plynu na teplotní podmínky dlouhodobého teplotního normálu</t>
  </si>
  <si>
    <t>Tok plynu ze/do ZP, které náleží do plynárenské soustavy ČR</t>
  </si>
  <si>
    <t>PLS</t>
  </si>
  <si>
    <t>Plynárenská soustava</t>
  </si>
  <si>
    <t>Prognóza spotřeby plynu *</t>
  </si>
  <si>
    <t>Spotřeba plynu 
na výrobu 
elektřiny</t>
  </si>
  <si>
    <t>Skutečná spotřeba 
plynu v ČR</t>
  </si>
  <si>
    <t>Přepočtená spotřeba 
plynu v ČR</t>
  </si>
  <si>
    <t>Teplota ovzduší v ČR (°C)</t>
  </si>
  <si>
    <t>Období</t>
  </si>
  <si>
    <t>Počet zákazníků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</si>
  <si>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</si>
  <si>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</si>
  <si>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</si>
  <si>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</si>
  <si>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</si>
  <si>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</si>
  <si>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</si>
  <si>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</si>
  <si>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</si>
  <si>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</si>
  <si>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</si>
  <si>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</si>
  <si>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Rok</t>
  </si>
  <si>
    <t>Max.</t>
  </si>
  <si>
    <t>Min.</t>
  </si>
  <si>
    <t>Den</t>
  </si>
  <si>
    <t>Maximum při teplotě</t>
  </si>
  <si>
    <t>Minimum při teplotě</t>
  </si>
  <si>
    <t>Denní průměr</t>
  </si>
  <si>
    <t>Dlouhodobý DTG</t>
  </si>
  <si>
    <t>Mod. spotřeba při 0°C</t>
  </si>
  <si>
    <t>Mod. spotřeba při -12°C</t>
  </si>
  <si>
    <t>Průměrná teplota</t>
  </si>
  <si>
    <t>Kategorie</t>
  </si>
  <si>
    <t>Počet 
zákazníků</t>
  </si>
  <si>
    <t>Teplota ovzduší</t>
  </si>
  <si>
    <t xml:space="preserve">                           Kraje</t>
  </si>
  <si>
    <t>Přepravní soustava a zásobníky plynu ČR</t>
  </si>
  <si>
    <t>Bilanční rozdíl
v přepravní soustavě</t>
  </si>
  <si>
    <t>saldo
ze/do ZP</t>
  </si>
  <si>
    <t>saldo
do/z ČR</t>
  </si>
  <si>
    <t>Tok plynu do/z
plynárenské soustavy ČR</t>
  </si>
  <si>
    <t>Tok plynu ze/do ZP,
které náleží do PLS ČR</t>
  </si>
  <si>
    <t>Spotřeba plynu [MWh]</t>
  </si>
  <si>
    <t>připojena 
k RDS</t>
  </si>
  <si>
    <t>připojena 
k LDS</t>
  </si>
  <si>
    <t>Do ČR</t>
  </si>
  <si>
    <t>Z ČR</t>
  </si>
  <si>
    <t>Ze ZP</t>
  </si>
  <si>
    <t>Do ZP</t>
  </si>
  <si>
    <t>* Ostatní společnosti zahrnují dodávky zákazníkům připojeným přímo na přepravní soustavu a plyn pro pohon kompresních stanic (PKS) společnosti NET4GAS, s.r.o., dodávky v ostrovních LDS (nejsou zahrnuty v RDS), všechny lokální distribuční soustavy, které jsou napojeny na RDS (uveden pouze počet zákazníků a stanice CNG, spotřeba plynu již zahrnuta v RDS) a vlastní spotřebu (VS) výrobců plynu.</t>
  </si>
  <si>
    <t xml:space="preserve">Společnost GasNet, s.r.o. (provozovatel regionální distribuční soustavy) </t>
  </si>
  <si>
    <t>Společnost NET4GAS, s.r.o. (provozovatel přepravní plynárenské soustavy)</t>
  </si>
  <si>
    <t>±1,0</t>
  </si>
  <si>
    <t>MND ES</t>
  </si>
  <si>
    <t>Společnost MND Energy Storage a.s. (provozovatel zásobníku plynu)</t>
  </si>
  <si>
    <t>Dodávky zemního plynu probíhaly ve sledovaném období plynule dle požadavků zákazníků, a to podle základního odběrového stupně, který znamená nekrácený odběr na základě smluvně sjednaného denního odběru plynu (vyhláška č. 344/2012 Sb., o stavu nouze v plynárenství a o způsobu zajištění bezpečnostního standardu dodávky plynu, ve znění pozdějších předpisů).</t>
  </si>
  <si>
    <t>Tok plynu do plynárenské soustavy ČR</t>
  </si>
  <si>
    <t>/</t>
  </si>
  <si>
    <t>GWh</t>
  </si>
  <si>
    <t>Tok plynu z plynárenské soustavy ČR</t>
  </si>
  <si>
    <t>Tok plynu ze zásobníků plynu ČR (těžba)</t>
  </si>
  <si>
    <t>Tok plynu do zásobníků plynu ČR (vtláčení)</t>
  </si>
  <si>
    <t>Stav provozních zásob u zásobníků plynu ČR na konci čtrvrtletí</t>
  </si>
  <si>
    <t>Dodávky od výrobců plynu vč. vlastní spotřeby (vnitrostátní těžba)</t>
  </si>
  <si>
    <t>Skutečná spotřeba plynu v ČR</t>
  </si>
  <si>
    <t>Meziroční změna skutečné spotřeby plynu (nárůst +, pokles -)</t>
  </si>
  <si>
    <t>%</t>
  </si>
  <si>
    <t>Přepočtená spotřeba plynu v ČR</t>
  </si>
  <si>
    <t>Meziroční změna přepočtené spotřeby plynu (nárůst +, pokles -)</t>
  </si>
  <si>
    <t>Průměrná teplota za celé čtvrtletí</t>
  </si>
  <si>
    <t>°C</t>
  </si>
  <si>
    <t>Dlouhodobý teplotní normál</t>
  </si>
  <si>
    <t>Odchylka od dlouhodobého teplotního normálu</t>
  </si>
  <si>
    <t>Maximální denní spotřeba plynu v ČR</t>
  </si>
  <si>
    <t>Minimální denní spotřeba plynu v ČR</t>
  </si>
  <si>
    <t>Podíl / meziroční změna u společnosti GasNet</t>
  </si>
  <si>
    <t>Podíl / meziroční změna u ostatních společností</t>
  </si>
  <si>
    <t>Celkový počet zákazníků v plynárenské soustavě ČR</t>
  </si>
  <si>
    <t>Bilanční rozdíl 
v PS</t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</si>
  <si>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>podíl spotřeby plynárenských společností 
    na celkové spotřebě v ČR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</si>
  <si>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dlouhodobý teplotní normál</t>
    </r>
  </si>
  <si>
    <r>
      <rPr>
        <vertAlign val="superscript"/>
        <sz val="8"/>
        <rFont val="Arial"/>
        <family val="2"/>
        <charset val="238"/>
      </rPr>
      <t xml:space="preserve">3) </t>
    </r>
    <r>
      <rPr>
        <sz val="8"/>
        <rFont val="Arial"/>
        <family val="2"/>
        <charset val="238"/>
      </rPr>
      <t>odchylka od dlouhodobého teplotního normálu</t>
    </r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</si>
  <si>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>podíl spotřeby kraje na celkové spotřebě 
   zákazníků v ČR</t>
    </r>
  </si>
  <si>
    <t>OBSAH</t>
  </si>
  <si>
    <t>ÚVOD</t>
  </si>
  <si>
    <t>Výroba plynu
v ČR
(včetně VS)</t>
  </si>
  <si>
    <r>
      <t>Tok plynu do/z plynárenské soustavy ČR (mil.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</si>
  <si>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r>
      <t>Tok plynu ze/do ZP, které náleží do PLS ČR (mil.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</si>
  <si>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r>
      <t>Spotřeba plynu v ČR (mil.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</si>
  <si>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r>
      <t>Plynárenská soustava</t>
    </r>
    <r>
      <rPr>
        <sz val="11"/>
        <color rgb="FF233060"/>
        <rFont val="Arial"/>
        <family val="2"/>
        <charset val="238"/>
      </rPr>
      <t xml:space="preserve"> (kapitola 3)</t>
    </r>
  </si>
  <si>
    <r>
      <t xml:space="preserve">Spotřeba zemního plynu </t>
    </r>
    <r>
      <rPr>
        <sz val="11"/>
        <color rgb="FF233060"/>
        <rFont val="Arial"/>
        <family val="2"/>
        <charset val="238"/>
      </rPr>
      <t>(kapitola 4)</t>
    </r>
  </si>
  <si>
    <r>
      <t>Spotřeba zemního plynu podle distribučních soustav</t>
    </r>
    <r>
      <rPr>
        <sz val="11"/>
        <color rgb="FF233060"/>
        <rFont val="Arial"/>
        <family val="2"/>
        <charset val="238"/>
      </rPr>
      <t xml:space="preserve"> (kapitola 5)</t>
    </r>
  </si>
  <si>
    <r>
      <t>Spotřeba plynu po kategoriích 
(mil.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</si>
  <si>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t>Spotřeba plynu celkem 
(GWh)</t>
  </si>
  <si>
    <t>Pražská plynárenská 
Distribuce, a.s.</t>
  </si>
  <si>
    <t>Spotřeba plynu podle krajů (MWh)</t>
  </si>
  <si>
    <r>
      <t>mil. m</t>
    </r>
    <r>
      <rPr>
        <vertAlign val="superscript"/>
        <sz val="11"/>
        <rFont val="Arial"/>
        <family val="2"/>
        <charset val="238"/>
      </rPr>
      <t>3</t>
    </r>
  </si>
  <si>
    <t xml:space="preserve"> </t>
  </si>
  <si>
    <r>
      <t>mil. m</t>
    </r>
    <r>
      <rPr>
        <b/>
        <vertAlign val="superscript"/>
        <sz val="8"/>
        <rFont val="Arial"/>
        <family val="2"/>
        <charset val="238"/>
      </rPr>
      <t>3</t>
    </r>
  </si>
  <si>
    <r>
      <t>tis. m</t>
    </r>
    <r>
      <rPr>
        <b/>
        <vertAlign val="superscript"/>
        <sz val="8"/>
        <rFont val="Arial"/>
        <family val="2"/>
        <charset val="238"/>
      </rPr>
      <t>3</t>
    </r>
  </si>
  <si>
    <t>MWh</t>
  </si>
  <si>
    <t>Teplota ovzduší v ČR</t>
  </si>
  <si>
    <t xml:space="preserve"> změna</t>
  </si>
  <si>
    <t>změna</t>
  </si>
  <si>
    <t>OP
VS
PKS</t>
  </si>
  <si>
    <t>Max</t>
  </si>
  <si>
    <t>Min</t>
  </si>
  <si>
    <r>
      <t>(tis. m</t>
    </r>
    <r>
      <rPr>
        <b/>
        <vertAlign val="superscript"/>
        <sz val="8"/>
        <color rgb="FF233060"/>
        <rFont val="Arial"/>
        <family val="2"/>
        <charset val="238"/>
      </rPr>
      <t>3</t>
    </r>
    <r>
      <rPr>
        <b/>
        <sz val="8"/>
        <color rgb="FF233060"/>
        <rFont val="Arial"/>
        <family val="2"/>
        <charset val="238"/>
      </rPr>
      <t>)</t>
    </r>
  </si>
  <si>
    <t>Změna spotřeby</t>
  </si>
  <si>
    <r>
      <t>Spotřeba plynu (tis.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</si>
  <si>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t>Podíl jednotlivých měsíců na spotřebě plynu</t>
  </si>
  <si>
    <r>
      <t>Spotřeba plynu podle plynárenských společností 
(tis.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</si>
  <si>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t>Průměrná teplota ovzduší podle plynárenských společností (°C)</t>
  </si>
  <si>
    <t>Podíl spotřeby plynu 
podle plynárenských společností</t>
  </si>
  <si>
    <r>
      <t>Spotřeba plynu (tis. m</t>
    </r>
    <r>
      <rPr>
        <b/>
        <vertAlign val="superscript"/>
        <sz val="8"/>
        <rFont val="Arial"/>
        <family val="2"/>
        <charset val="238"/>
      </rPr>
      <t>3</t>
    </r>
    <r>
      <rPr>
        <b/>
        <sz val="8"/>
        <rFont val="Arial"/>
        <family val="2"/>
        <charset val="238"/>
      </rPr>
      <t>)</t>
    </r>
  </si>
  <si>
    <t>Spotřeba plynu (MWh)</t>
  </si>
  <si>
    <r>
      <t>Spotřeba zemního plynu podle plynárenských soustav v ČR po jednotlivých čtvrtletích (tis.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</si>
  <si>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r>
      <t>Podíl</t>
    </r>
    <r>
      <rPr>
        <b/>
        <vertAlign val="superscript"/>
        <sz val="8"/>
        <rFont val="Arial"/>
        <family val="2"/>
        <charset val="238"/>
      </rPr>
      <t>1)</t>
    </r>
  </si>
  <si>
    <r>
      <t>Normál</t>
    </r>
    <r>
      <rPr>
        <b/>
        <vertAlign val="superscript"/>
        <sz val="8"/>
        <color theme="1"/>
        <rFont val="Arial"/>
        <family val="2"/>
        <charset val="238"/>
      </rPr>
      <t>2)</t>
    </r>
  </si>
  <si>
    <r>
      <t>Odchylka</t>
    </r>
    <r>
      <rPr>
        <b/>
        <vertAlign val="superscript"/>
        <sz val="8"/>
        <color theme="1"/>
        <rFont val="Arial"/>
        <family val="2"/>
        <charset val="238"/>
      </rPr>
      <t>3)</t>
    </r>
  </si>
  <si>
    <t>Změna</t>
  </si>
  <si>
    <t>Plynárenské 
společnosti</t>
  </si>
  <si>
    <r>
      <t>Normál</t>
    </r>
    <r>
      <rPr>
        <b/>
        <vertAlign val="superscript"/>
        <sz val="8"/>
        <rFont val="Arial"/>
        <family val="2"/>
        <charset val="238"/>
      </rPr>
      <t>2)</t>
    </r>
  </si>
  <si>
    <r>
      <t>Odchylka</t>
    </r>
    <r>
      <rPr>
        <b/>
        <vertAlign val="superscript"/>
        <sz val="8"/>
        <rFont val="Arial"/>
        <family val="2"/>
        <charset val="238"/>
      </rPr>
      <t>3)</t>
    </r>
  </si>
  <si>
    <t>1 ZKRATKY A POJMY</t>
  </si>
  <si>
    <t>3 PLYNÁRENSKÁ SOUSTAVA</t>
  </si>
  <si>
    <t>4 SPOTŘEBA ZEMNÍHO PLYNU</t>
  </si>
  <si>
    <t>5 SPOTŘEBA ZEMNÍHO PLYNU PODLE DISTRIBUČNÍCH SOUSTAV</t>
  </si>
  <si>
    <t>6 SPOTŘEBA ZEMNÍHO PLYNU PODLE KRAJŮ</t>
  </si>
  <si>
    <t>7 MAPA PLYNÁRENSKÉ SOUSTAVY ČR</t>
  </si>
  <si>
    <t>3.1 Čtvrtletní bilance plynárenské soustavy ČR</t>
  </si>
  <si>
    <t>3.2 Bilance plynárenské soustavy ČR v průběhu roku</t>
  </si>
  <si>
    <t>4.1 Spotřeba zemního plynu v ČR v průběhu roku</t>
  </si>
  <si>
    <t>4.2 Spotřeba zemního plynu v ČR podle kategorií zákazníků v průběhu roku</t>
  </si>
  <si>
    <t>4.3 Denní průběh spotřeb zemního plynu v ČR</t>
  </si>
  <si>
    <t>5.1 Spotřeba zemního plynu podle kategorií zákazníků v ČR</t>
  </si>
  <si>
    <t>5.3 Spotřeba zemního plynu u společnosti GasNet</t>
  </si>
  <si>
    <t>5.5 Spotřeba zemního plynu u ostatních společností</t>
  </si>
  <si>
    <t>5.10 Spotřeba zemního plynu podle plynárenských soustav v průběhu roku</t>
  </si>
  <si>
    <t>6.1 Spotřeba zemního plynu: Jihočeský a Jihomoravský kraj</t>
  </si>
  <si>
    <t>6.2 Spotřeba zemního plynu: Karlovarský a Královéhradecký kraj</t>
  </si>
  <si>
    <t>6.3 Spotřeba zemního plynu: Liberecký a Moravskoslezský kraj</t>
  </si>
  <si>
    <t>6.4 Spotřeba zemního plynu: Olomoucký a Pardubický kraj</t>
  </si>
  <si>
    <t>6.5 Spotřeba zemního plynu: Plzeňský kraj a Hlavní město Praha</t>
  </si>
  <si>
    <t>6.6 Spotřeba zemního plynu: Středočeský a Ústecký kraj</t>
  </si>
  <si>
    <t>6.7 Spotřeba zemního plynu: Kraj Vysočina a Zlínský kraj</t>
  </si>
  <si>
    <t>6.12 Spotřeba zemního plynu podle krajů v ČR v průběhu roku</t>
  </si>
  <si>
    <t>Podíl jednotlivých kategorií 
na celkovém počtu zákazníků</t>
  </si>
  <si>
    <t>Oddělení statistiky a sledování kvality</t>
  </si>
  <si>
    <t>spotřeba 
v LDS, která není 
v RDS</t>
  </si>
  <si>
    <t>Vydání</t>
  </si>
  <si>
    <t>Denní fyzické množství plynu pro pohon kompresních stanic a ostatní plyn,
který představuje neměřené hodnoty rozdílového množství celkové bilance PS</t>
  </si>
  <si>
    <t>Poznámka: Případnou kolidující hodnotu v objemových a energetických jednotkách "Bilanční rozdíl v přepravní soustavě" způsobuje odlišné spalné teplo na vstupech a výstupech plynárenské soustavy. Tato hodnota představuje neměřené hodnoty rozdílového množství celkové bilance přepravní soustavy.</t>
  </si>
  <si>
    <t>GS CZ</t>
  </si>
  <si>
    <t>plyn.statistika@eru.gov.cz</t>
  </si>
  <si>
    <t>MND GS</t>
  </si>
  <si>
    <t>Společnost MND Gas Storage a.s. (provozovatel zásobníku plynu)</t>
  </si>
  <si>
    <t>Společnost Gas Storage CZ, a.s. (provozovatel zásobníků plynu)</t>
  </si>
  <si>
    <t>* Prognóza spotřeby plynu do konce roku 2025 byla zpracována v prosinci 2024.</t>
  </si>
  <si>
    <t>PPD</t>
  </si>
  <si>
    <t>Podíl / meziroční změna u společnosti PPD</t>
  </si>
  <si>
    <t>Společnost Pražská plynárenská Distribuce, a.s. (provozovatel regionální distribuční soustavy)</t>
  </si>
  <si>
    <t>5.2 Spotřeba zemního plynu u společnosti PPD</t>
  </si>
  <si>
    <t>Společnost Gas Distribution s.r.o. (provozovatel regionální distribuční soustavy)</t>
  </si>
  <si>
    <t>Gas Distribution s.r.o.</t>
  </si>
  <si>
    <t xml:space="preserve">Energetický regulační úřad (ERÚ) zveřejňuje čtvrtletní zprávu o provozu plynárenské soustavy ČR za dané čtvrtletí v souladu s § 17 odst. 7 písm. m) zákona č. 458/2000 Sb., o podmínkách podnikání a o výkonu státní správy v energetických odvětvích a o změně některých zákonů (energetický zákon), ve znění pozdějších předpisů. Údaje obsažené v této zprávě jsou určeny především pro státní orgány či instituce v rámci ČR nebo Evropské unie a odbornou veřejnost.
ERÚ v této zprávě uvádí všechna dostupná provozně technická data, která představují fyzické toky plynu. Údaje pro čtvrtletní zprávu ERÚ získává na základě vyhlášky č. 404/2016 Sb., o náležitostech a členění výkazů nezbytných pro zpracování zpráv o provozu soustav v energetických odvětvích, včetně termínů, rozsahu a pravidel pro sestavování výkazů (statistická vyhláška), ve znění pozdějších předpisů, která nabyla účinnost dnem 1. ledna 2017. V rámci svých kompetencí, určených § 20a odst. 4 písm. e) energetického zákona, zpracovává operátor trhu své měsíční a roční statistiky o trhu s elektřinou a o trhu s plynem, které doplňují statistiky Energetického regulačního úřadu o obchodní údaje.
Veškerá data vycházejí z podkladů od licencovaných subjektů: výrobců plynu, provozovatelů distribučních soustav, přepravní soustavy a zásobníků plynu.
Čtvrtletní zpráva přináší informace o základních ukazatelích v plynárenství. Jednotlivé kapitoly obsahují statistická data o bilanci, výrobě a spotřebě plynu podle příslušných kategorií včetně spotřeby plynu na výrobu elektřiny. Zpráva dále obsahuje vyhodnocení přeshraničních toků plynu, uskladnění plynu a některá krajská vyhodnocení. Zjištěné a opravené chyby v obdržených datech a zpětné korekce výkazů jsou průběžně promítány do statistiky a projeví se vždy v dalších zveřejněných zprávách, případně v roční zprávě o provozu plynárenské soustavy ČR za rok 2025, kterou ERÚ předpokládá zveřejnit do konce května roku 2026.
</t>
  </si>
  <si>
    <t>GasD</t>
  </si>
  <si>
    <t>5.4 Spotřeba zemního plynu u společnosti GasD</t>
  </si>
  <si>
    <t xml:space="preserve"> GasD</t>
  </si>
  <si>
    <t>Podíl / meziroční změna u společnosti GasD</t>
  </si>
  <si>
    <t>SPP S</t>
  </si>
  <si>
    <t>Společnost SPP Storage, s.r.o. (provozovatel zásobníku plynu)</t>
  </si>
  <si>
    <t xml:space="preserve"> Průměr</t>
  </si>
  <si>
    <t xml:space="preserve"> Max.</t>
  </si>
  <si>
    <t xml:space="preserve"> Min.</t>
  </si>
  <si>
    <t xml:space="preserve"> Normál</t>
  </si>
  <si>
    <t xml:space="preserve"> Odchylka</t>
  </si>
  <si>
    <r>
      <rPr>
        <b/>
        <sz val="24"/>
        <color rgb="FF1A3366"/>
        <rFont val="Arial"/>
        <family val="2"/>
        <charset val="238"/>
      </rPr>
      <t xml:space="preserve">ČTVRTLETNÍ ZPRÁVA O PROVOZU 
PLYNÁRENSKÉ SOUSTAVY
ČESKÉ REPUBLIKY
</t>
    </r>
    <r>
      <rPr>
        <b/>
        <sz val="24"/>
        <color theme="8"/>
        <rFont val="Arial"/>
        <family val="2"/>
        <charset val="238"/>
      </rPr>
      <t>ZA IV. ČTVRTLETÍ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</si>
</sst>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_-* #,##0_-;\-* #,##0_-;_-* &quot;-&quot;_-;_-@_-"/>
    <numFmt numFmtId="165" formatCode="_-* #,##0.00_-;\-* #,##0.00_-;_-* &quot;-&quot;??_-;_-@_-"/>
    <numFmt numFmtId="166" formatCode="0.0%"/>
    <numFmt numFmtId="167" formatCode="#,##0.0"/>
    <numFmt numFmtId="168" formatCode="#,##0.000"/>
    <numFmt numFmtId="169" formatCode="0.0"/>
    <numFmt numFmtId="170" formatCode="\$#,##0\ ;\(\$#,##0\)"/>
    <numFmt numFmtId="171" formatCode="0.00%;[Red]\-0.00%"/>
    <numFmt numFmtId="172" formatCode="#,###,##0.00;[Red]\-#,###,##0.00"/>
    <numFmt numFmtId="173" formatCode="#,###,##0;[Red]\-#,###,##0"/>
    <numFmt numFmtId="174" formatCode="#,##0.0_);[Red]\(#,##0.0\)"/>
    <numFmt numFmtId="175" formatCode="&quot;$&quot;#,##0.00"/>
    <numFmt numFmtId="176" formatCode="_-* #,##0\ _C_Z_K_-;\-* #,##0\ _C_Z_K_-;_-* &quot;-&quot;\ _C_Z_K_-;_-@_-"/>
    <numFmt numFmtId="177" formatCode="\$#,##0.00\ ;\(\$#,##0.00\)"/>
    <numFmt numFmtId="178" formatCode="_-* #,##0\ _F_-;\-* #,##0\ _F_-;_-* &quot;-&quot;\ _F_-;_-@_-"/>
    <numFmt numFmtId="179" formatCode="_-* #,##0.00\ _F_-;\-* #,##0.00\ _F_-;_-* &quot;-&quot;??\ _F_-;_-@_-"/>
    <numFmt numFmtId="180" formatCode="_-* #,##0\ &quot;F&quot;_-;\-* #,##0\ &quot;F&quot;_-;_-* &quot;-&quot;\ &quot;F&quot;_-;_-@_-"/>
    <numFmt numFmtId="181" formatCode="_-* #,##0.00\ &quot;F&quot;_-;\-* #,##0.00\ &quot;F&quot;_-;_-* &quot;-&quot;??\ &quot;F&quot;_-;_-@_-"/>
    <numFmt numFmtId="182" formatCode="#,##0\ &quot;Kc&quot;;\-#,##0\ &quot;Kc&quot;"/>
    <numFmt numFmtId="183" formatCode="0.00_);[Red]\-0.00"/>
    <numFmt numFmtId="184" formatCode="mm\/yyyy"/>
    <numFmt numFmtId="185" formatCode="#,##0.000000"/>
  </numFmts>
  <fonts count="143">
    <font>
      <sz val="10"/>
      <name val="Arial"/>
      <charset val="238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10"/>
      <name val="Arial CE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"/>
      <family val="2"/>
      <charset val="238"/>
      <scheme val="minor"/>
    </font>
    <font>
      <sz val="11"/>
      <color rgb="FF006100"/>
      <name val="Arial"/>
      <family val="2"/>
      <charset val="238"/>
      <scheme val="minor"/>
    </font>
    <font>
      <sz val="11"/>
      <color rgb="FF9C6500"/>
      <name val="Arial"/>
      <family val="2"/>
      <charset val="238"/>
      <scheme val="minor"/>
    </font>
    <font>
      <b/>
      <sz val="10"/>
      <color theme="3"/>
      <name val="Arial"/>
      <family val="2"/>
      <charset val="238"/>
      <scheme val="minor"/>
    </font>
    <font>
      <sz val="10"/>
      <color theme="4"/>
      <name val="Arial"/>
      <family val="2"/>
      <charset val="238"/>
      <scheme val="minor"/>
    </font>
    <font>
      <sz val="10"/>
      <color theme="3"/>
      <name val="Arial"/>
      <family val="2"/>
      <charset val="238"/>
      <scheme val="minor"/>
    </font>
    <font>
      <b/>
      <sz val="10"/>
      <name val="Arial"/>
      <family val="2"/>
      <charset val="238"/>
      <scheme val="minor"/>
    </font>
    <font>
      <sz val="10"/>
      <color rgb="FF005DA2"/>
      <name val="Arial"/>
      <family val="2"/>
      <charset val="238"/>
      <scheme val="minor"/>
    </font>
    <font>
      <b/>
      <sz val="10"/>
      <color rgb="FF005DA2"/>
      <name val="Arial"/>
      <family val="2"/>
      <charset val="238"/>
      <scheme val="minor"/>
    </font>
    <font>
      <sz val="10"/>
      <color theme="0"/>
      <name val="Arial"/>
      <family val="2"/>
      <charset val="238"/>
      <scheme val="minor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name val="Arial CE"/>
      <family val="2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1"/>
      <color indexed="8"/>
      <name val="Calibri"/>
      <family val="2"/>
      <charset val="238"/>
    </font>
    <font>
      <sz val="12"/>
      <name val="System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  <charset val="238"/>
    </font>
    <font>
      <sz val="10"/>
      <name val="MS Serif"/>
      <family val="1"/>
    </font>
    <font>
      <sz val="10"/>
      <name val="Courier"/>
      <family val="1"/>
      <charset val="238"/>
    </font>
    <font>
      <sz val="10"/>
      <name val="Courier"/>
      <family val="3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</font>
    <font>
      <sz val="10"/>
      <color indexed="16"/>
      <name val="MS Serif"/>
      <family val="1"/>
      <charset val="238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4"/>
      <name val="Arial CE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name val="Times New Roman"/>
      <family val="1"/>
      <charset val="238"/>
    </font>
    <font>
      <sz val="11"/>
      <color theme="1"/>
      <name val="Arial"/>
      <family val="2"/>
      <scheme val="minor"/>
    </font>
    <font>
      <sz val="12"/>
      <name val="Times New Roman"/>
      <family val="1"/>
      <charset val="238"/>
    </font>
    <font>
      <sz val="11"/>
      <color indexed="10"/>
      <name val="Calibri"/>
      <family val="2"/>
      <charset val="23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color rgb="FFFF0000"/>
      <name val="Arial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color rgb="FF0000FF"/>
      <name val="Arial"/>
      <family val="2"/>
      <charset val="238"/>
    </font>
    <font>
      <b/>
      <i/>
      <sz val="8"/>
      <color rgb="FF00B0F0"/>
      <name val="Arial"/>
      <family val="2"/>
      <charset val="238"/>
    </font>
    <font>
      <b/>
      <sz val="8"/>
      <color theme="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4" tint="-0.249977111117893"/>
      <name val="Arial"/>
      <family val="2"/>
      <charset val="238"/>
    </font>
    <font>
      <sz val="11"/>
      <color rgb="FFFF0000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vertAlign val="superscript"/>
      <sz val="11"/>
      <name val="Arial"/>
      <family val="2"/>
      <charset val="238"/>
    </font>
    <font>
      <i/>
      <sz val="8"/>
      <name val="Arial"/>
      <family val="2"/>
      <charset val="238"/>
    </font>
    <font>
      <b/>
      <sz val="16"/>
      <color rgb="FF233060"/>
      <name val="Arial"/>
      <family val="2"/>
      <charset val="238"/>
    </font>
    <font>
      <b/>
      <sz val="10"/>
      <color rgb="FF233060"/>
      <name val="Arial"/>
      <family val="2"/>
      <charset val="238"/>
    </font>
    <font>
      <sz val="10"/>
      <color rgb="FF233060"/>
      <name val="Arial"/>
      <family val="2"/>
      <charset val="238"/>
    </font>
    <font>
      <b/>
      <sz val="11"/>
      <color rgb="FF233060"/>
      <name val="Arial"/>
      <family val="2"/>
      <charset val="238"/>
    </font>
    <font>
      <sz val="11"/>
      <color rgb="FF233060"/>
      <name val="Arial"/>
      <family val="2"/>
      <charset val="238"/>
    </font>
    <font>
      <b/>
      <sz val="8"/>
      <name val="Arial"/>
      <family val="2"/>
      <charset val="238"/>
    </font>
    <font>
      <sz val="8"/>
      <color theme="0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00B0F0"/>
      <name val="Arial"/>
      <family val="2"/>
      <charset val="238"/>
    </font>
    <font>
      <b/>
      <sz val="8"/>
      <color theme="9" tint="-0.249977111117893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8" tint="-0.249977111117893"/>
      <name val="Arial"/>
      <family val="2"/>
      <charset val="238"/>
    </font>
    <font>
      <sz val="14"/>
      <color rgb="FF233060"/>
      <name val="Arial"/>
      <family val="2"/>
      <charset val="238"/>
    </font>
    <font>
      <sz val="26"/>
      <name val="Arial"/>
      <family val="2"/>
      <charset val="238"/>
    </font>
    <font>
      <sz val="10"/>
      <color theme="8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B0F0"/>
      <name val="Arial"/>
      <family val="2"/>
      <charset val="238"/>
    </font>
    <font>
      <sz val="10"/>
      <color theme="0"/>
      <name val="Arial"/>
      <family val="2"/>
      <charset val="238"/>
    </font>
    <font>
      <b/>
      <i/>
      <sz val="8"/>
      <color rgb="FF000099"/>
      <name val="Arial"/>
      <family val="2"/>
      <charset val="238"/>
    </font>
    <font>
      <sz val="8"/>
      <color rgb="FF233060"/>
      <name val="Arial"/>
      <family val="2"/>
      <charset val="238"/>
    </font>
    <font>
      <b/>
      <sz val="8"/>
      <color rgb="FF233060"/>
      <name val="Arial"/>
      <family val="2"/>
      <charset val="238"/>
    </font>
    <font>
      <b/>
      <vertAlign val="superscript"/>
      <sz val="10"/>
      <color rgb="FF233060"/>
      <name val="Arial"/>
      <family val="2"/>
      <charset val="238"/>
    </font>
    <font>
      <b/>
      <sz val="10"/>
      <name val="Arial"/>
      <family val="2"/>
      <charset val="238"/>
    </font>
    <font>
      <b/>
      <sz val="24"/>
      <name val="Arial"/>
      <family val="2"/>
      <charset val="238"/>
    </font>
    <font>
      <b/>
      <sz val="24"/>
      <color rgb="FF1A3366"/>
      <name val="Arial"/>
      <family val="2"/>
      <charset val="238"/>
    </font>
    <font>
      <sz val="16"/>
      <name val="Arial"/>
      <family val="2"/>
      <charset val="238"/>
    </font>
    <font>
      <b/>
      <sz val="17"/>
      <color rgb="FF153366"/>
      <name val="Arial"/>
      <family val="2"/>
      <charset val="238"/>
      <scheme val="minor"/>
    </font>
    <font>
      <b/>
      <sz val="24"/>
      <color theme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u/>
      <sz val="8"/>
      <name val="Arial"/>
      <family val="2"/>
      <charset val="238"/>
    </font>
    <font>
      <b/>
      <vertAlign val="superscript"/>
      <sz val="8"/>
      <color rgb="FF233060"/>
      <name val="Arial"/>
      <family val="2"/>
      <charset val="238"/>
    </font>
    <font>
      <b/>
      <sz val="8"/>
      <color theme="1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b/>
      <sz val="14"/>
      <color rgb="FF233060"/>
      <name val="Arial"/>
      <family val="2"/>
      <charset val="238"/>
    </font>
    <font>
      <b/>
      <sz val="11"/>
      <color rgb="FFE53A2E"/>
      <name val="Arial"/>
      <family val="2"/>
      <charset val="238"/>
    </font>
    <font>
      <sz val="11"/>
      <color theme="3"/>
      <name val="Arial"/>
      <family val="2"/>
      <charset val="238"/>
    </font>
  </fonts>
  <fills count="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4506668294322"/>
        <bgColor auto="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46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indexed="4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40">
    <xf numFmtId="0" fontId="0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8" fillId="0" borderId="0"/>
    <xf numFmtId="9" fontId="9" fillId="0" borderId="0" applyFont="0" applyFill="0" applyBorder="0" applyAlignment="0" applyProtection="0"/>
    <xf numFmtId="4" fontId="12" fillId="3" borderId="3" applyNumberFormat="0" applyProtection="0">
      <alignment vertical="center"/>
    </xf>
    <xf numFmtId="4" fontId="12" fillId="4" borderId="3" applyNumberFormat="0" applyProtection="0">
      <alignment horizontal="left" vertical="center" indent="1"/>
    </xf>
    <xf numFmtId="4" fontId="12" fillId="5" borderId="0" applyNumberFormat="0" applyProtection="0">
      <alignment horizontal="left" vertical="center" indent="1"/>
    </xf>
    <xf numFmtId="4" fontId="13" fillId="6" borderId="3" applyNumberFormat="0" applyProtection="0">
      <alignment horizontal="right" vertical="center"/>
    </xf>
    <xf numFmtId="4" fontId="13" fillId="7" borderId="3" applyNumberFormat="0" applyProtection="0">
      <alignment horizontal="left" vertical="center" indent="1"/>
    </xf>
    <xf numFmtId="2" fontId="9" fillId="0" borderId="0" applyFont="0" applyFill="0" applyBorder="0" applyAlignment="0" applyProtection="0"/>
    <xf numFmtId="0" fontId="9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4" fontId="14" fillId="4" borderId="3" applyNumberFormat="0" applyProtection="0">
      <alignment vertical="center"/>
    </xf>
    <xf numFmtId="0" fontId="12" fillId="4" borderId="3" applyNumberFormat="0" applyProtection="0">
      <alignment horizontal="left" vertical="top" indent="1"/>
    </xf>
    <xf numFmtId="4" fontId="13" fillId="8" borderId="3" applyNumberFormat="0" applyProtection="0">
      <alignment horizontal="right" vertical="center"/>
    </xf>
    <xf numFmtId="4" fontId="13" fillId="9" borderId="3" applyNumberFormat="0" applyProtection="0">
      <alignment horizontal="right" vertical="center"/>
    </xf>
    <xf numFmtId="4" fontId="13" fillId="10" borderId="3" applyNumberFormat="0" applyProtection="0">
      <alignment horizontal="right" vertical="center"/>
    </xf>
    <xf numFmtId="4" fontId="13" fillId="11" borderId="3" applyNumberFormat="0" applyProtection="0">
      <alignment horizontal="right" vertical="center"/>
    </xf>
    <xf numFmtId="4" fontId="13" fillId="12" borderId="3" applyNumberFormat="0" applyProtection="0">
      <alignment horizontal="right" vertical="center"/>
    </xf>
    <xf numFmtId="4" fontId="13" fillId="13" borderId="3" applyNumberFormat="0" applyProtection="0">
      <alignment horizontal="right" vertical="center"/>
    </xf>
    <xf numFmtId="4" fontId="13" fillId="14" borderId="3" applyNumberFormat="0" applyProtection="0">
      <alignment horizontal="right" vertical="center"/>
    </xf>
    <xf numFmtId="4" fontId="13" fillId="15" borderId="3" applyNumberFormat="0" applyProtection="0">
      <alignment horizontal="right" vertical="center"/>
    </xf>
    <xf numFmtId="4" fontId="13" fillId="16" borderId="3" applyNumberFormat="0" applyProtection="0">
      <alignment horizontal="right" vertical="center"/>
    </xf>
    <xf numFmtId="4" fontId="12" fillId="0" borderId="0" applyNumberFormat="0" applyProtection="0">
      <alignment horizontal="left" vertical="center" indent="1"/>
    </xf>
    <xf numFmtId="4" fontId="13" fillId="6" borderId="0" applyNumberFormat="0" applyProtection="0">
      <alignment horizontal="left" vertical="center" indent="1"/>
    </xf>
    <xf numFmtId="4" fontId="15" fillId="17" borderId="0" applyNumberFormat="0" applyProtection="0">
      <alignment horizontal="left" vertical="center" indent="1"/>
    </xf>
    <xf numFmtId="4" fontId="13" fillId="7" borderId="3" applyNumberFormat="0" applyProtection="0">
      <alignment horizontal="right" vertical="center"/>
    </xf>
    <xf numFmtId="4" fontId="16" fillId="6" borderId="0" applyNumberFormat="0" applyProtection="0">
      <alignment horizontal="left" vertical="center" indent="1"/>
    </xf>
    <xf numFmtId="4" fontId="16" fillId="5" borderId="0" applyNumberFormat="0" applyProtection="0">
      <alignment horizontal="left" vertical="center" indent="1"/>
    </xf>
    <xf numFmtId="0" fontId="9" fillId="17" borderId="3" applyNumberFormat="0" applyProtection="0">
      <alignment horizontal="left" vertical="center" indent="1"/>
    </xf>
    <xf numFmtId="0" fontId="9" fillId="17" borderId="3" applyNumberFormat="0" applyProtection="0">
      <alignment horizontal="left" vertical="top" indent="1"/>
    </xf>
    <xf numFmtId="0" fontId="9" fillId="5" borderId="3" applyNumberFormat="0" applyProtection="0">
      <alignment horizontal="left" vertical="center" indent="1"/>
    </xf>
    <xf numFmtId="0" fontId="9" fillId="5" borderId="3" applyNumberFormat="0" applyProtection="0">
      <alignment horizontal="left" vertical="top" indent="1"/>
    </xf>
    <xf numFmtId="0" fontId="9" fillId="18" borderId="3" applyNumberFormat="0" applyProtection="0">
      <alignment horizontal="left" vertical="center" indent="1"/>
    </xf>
    <xf numFmtId="0" fontId="9" fillId="18" borderId="3" applyNumberFormat="0" applyProtection="0">
      <alignment horizontal="left" vertical="top" indent="1"/>
    </xf>
    <xf numFmtId="0" fontId="9" fillId="19" borderId="3" applyNumberFormat="0" applyProtection="0">
      <alignment horizontal="left" vertical="center" indent="1"/>
    </xf>
    <xf numFmtId="0" fontId="9" fillId="19" borderId="3" applyNumberFormat="0" applyProtection="0">
      <alignment horizontal="left" vertical="top" indent="1"/>
    </xf>
    <xf numFmtId="4" fontId="13" fillId="20" borderId="3" applyNumberFormat="0" applyProtection="0">
      <alignment vertical="center"/>
    </xf>
    <xf numFmtId="4" fontId="17" fillId="20" borderId="3" applyNumberFormat="0" applyProtection="0">
      <alignment vertical="center"/>
    </xf>
    <xf numFmtId="4" fontId="13" fillId="20" borderId="3" applyNumberFormat="0" applyProtection="0">
      <alignment horizontal="left" vertical="center" indent="1"/>
    </xf>
    <xf numFmtId="0" fontId="13" fillId="20" borderId="3" applyNumberFormat="0" applyProtection="0">
      <alignment horizontal="left" vertical="top" indent="1"/>
    </xf>
    <xf numFmtId="4" fontId="17" fillId="6" borderId="3" applyNumberFormat="0" applyProtection="0">
      <alignment horizontal="right" vertical="center"/>
    </xf>
    <xf numFmtId="0" fontId="13" fillId="5" borderId="3" applyNumberFormat="0" applyProtection="0">
      <alignment horizontal="left" vertical="top" indent="1"/>
    </xf>
    <xf numFmtId="4" fontId="18" fillId="0" borderId="0" applyNumberFormat="0" applyProtection="0">
      <alignment horizontal="left" vertical="center" indent="1"/>
    </xf>
    <xf numFmtId="4" fontId="19" fillId="6" borderId="3" applyNumberFormat="0" applyProtection="0">
      <alignment horizontal="right" vertical="center"/>
    </xf>
    <xf numFmtId="0" fontId="9" fillId="0" borderId="0"/>
    <xf numFmtId="0" fontId="20" fillId="21" borderId="4" applyNumberFormat="0" applyFont="0" applyFill="0" applyAlignment="0" applyProtection="0"/>
    <xf numFmtId="0" fontId="20" fillId="21" borderId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3" fontId="20" fillId="21" borderId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170" fontId="20" fillId="21" borderId="0" applyFont="0" applyFill="0" applyBorder="0" applyAlignment="0" applyProtection="0"/>
    <xf numFmtId="0" fontId="11" fillId="0" borderId="0" applyNumberFormat="0" applyFill="0" applyBorder="0" applyAlignment="0" applyProtection="0"/>
    <xf numFmtId="0" fontId="5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2" fontId="20" fillId="21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2" fillId="21" borderId="0" applyNumberFormat="0" applyFill="0" applyBorder="0" applyAlignment="0" applyProtection="0"/>
    <xf numFmtId="0" fontId="23" fillId="21" borderId="0" applyNumberFormat="0" applyFill="0" applyBorder="0" applyAlignment="0" applyProtection="0"/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2" fontId="34" fillId="0" borderId="5">
      <alignment horizontal="right"/>
      <protection hidden="1"/>
    </xf>
    <xf numFmtId="172" fontId="34" fillId="0" borderId="5">
      <alignment horizontal="right"/>
      <protection hidden="1"/>
    </xf>
    <xf numFmtId="172" fontId="34" fillId="0" borderId="5">
      <alignment horizontal="right"/>
      <protection hidden="1"/>
    </xf>
    <xf numFmtId="172" fontId="34" fillId="0" borderId="5">
      <alignment horizontal="right"/>
      <protection hidden="1"/>
    </xf>
    <xf numFmtId="172" fontId="34" fillId="0" borderId="5">
      <alignment horizontal="right"/>
      <protection hidden="1"/>
    </xf>
    <xf numFmtId="172" fontId="34" fillId="0" borderId="5">
      <alignment horizontal="right"/>
      <protection hidden="1"/>
    </xf>
    <xf numFmtId="172" fontId="34" fillId="0" borderId="5">
      <alignment horizontal="right"/>
      <protection hidden="1"/>
    </xf>
    <xf numFmtId="172" fontId="34" fillId="0" borderId="5">
      <alignment horizontal="right"/>
      <protection hidden="1"/>
    </xf>
    <xf numFmtId="172" fontId="34" fillId="0" borderId="5">
      <alignment horizontal="right"/>
      <protection hidden="1"/>
    </xf>
    <xf numFmtId="172" fontId="34" fillId="0" borderId="5">
      <alignment horizontal="right"/>
      <protection hidden="1"/>
    </xf>
    <xf numFmtId="172" fontId="34" fillId="0" borderId="5">
      <alignment horizontal="right"/>
      <protection hidden="1"/>
    </xf>
    <xf numFmtId="172" fontId="34" fillId="0" borderId="5">
      <alignment horizontal="right"/>
      <protection hidden="1"/>
    </xf>
    <xf numFmtId="172" fontId="34" fillId="0" borderId="5">
      <alignment horizontal="right"/>
      <protection hidden="1"/>
    </xf>
    <xf numFmtId="172" fontId="34" fillId="0" borderId="5">
      <alignment horizontal="right"/>
      <protection hidden="1"/>
    </xf>
    <xf numFmtId="172" fontId="34" fillId="0" borderId="5">
      <alignment horizontal="right"/>
      <protection hidden="1"/>
    </xf>
    <xf numFmtId="172" fontId="34" fillId="0" borderId="5">
      <alignment horizontal="right"/>
      <protection hidden="1"/>
    </xf>
    <xf numFmtId="172" fontId="34" fillId="0" borderId="5">
      <alignment horizontal="right"/>
      <protection hidden="1"/>
    </xf>
    <xf numFmtId="172" fontId="34" fillId="0" borderId="5">
      <alignment horizontal="right"/>
      <protection hidden="1"/>
    </xf>
    <xf numFmtId="172" fontId="34" fillId="0" borderId="5">
      <alignment horizontal="right"/>
      <protection hidden="1"/>
    </xf>
    <xf numFmtId="172" fontId="34" fillId="0" borderId="5">
      <alignment horizontal="right"/>
      <protection hidden="1"/>
    </xf>
    <xf numFmtId="172" fontId="34" fillId="0" borderId="5">
      <alignment horizontal="right"/>
      <protection hidden="1"/>
    </xf>
    <xf numFmtId="173" fontId="34" fillId="0" borderId="5">
      <alignment horizontal="right"/>
      <protection hidden="1"/>
    </xf>
    <xf numFmtId="173" fontId="34" fillId="0" borderId="5">
      <alignment horizontal="right"/>
      <protection hidden="1"/>
    </xf>
    <xf numFmtId="173" fontId="34" fillId="0" borderId="5">
      <alignment horizontal="right"/>
      <protection hidden="1"/>
    </xf>
    <xf numFmtId="173" fontId="34" fillId="0" borderId="5">
      <alignment horizontal="right"/>
      <protection hidden="1"/>
    </xf>
    <xf numFmtId="173" fontId="34" fillId="0" borderId="5">
      <alignment horizontal="right"/>
      <protection hidden="1"/>
    </xf>
    <xf numFmtId="173" fontId="34" fillId="0" borderId="5">
      <alignment horizontal="right"/>
      <protection hidden="1"/>
    </xf>
    <xf numFmtId="173" fontId="34" fillId="0" borderId="5">
      <alignment horizontal="right"/>
      <protection hidden="1"/>
    </xf>
    <xf numFmtId="173" fontId="34" fillId="0" borderId="5">
      <alignment horizontal="right"/>
      <protection hidden="1"/>
    </xf>
    <xf numFmtId="173" fontId="34" fillId="0" borderId="5">
      <alignment horizontal="right"/>
      <protection hidden="1"/>
    </xf>
    <xf numFmtId="173" fontId="34" fillId="0" borderId="5">
      <alignment horizontal="right"/>
      <protection hidden="1"/>
    </xf>
    <xf numFmtId="173" fontId="34" fillId="0" borderId="5">
      <alignment horizontal="right"/>
      <protection hidden="1"/>
    </xf>
    <xf numFmtId="173" fontId="34" fillId="0" borderId="5">
      <alignment horizontal="right"/>
      <protection hidden="1"/>
    </xf>
    <xf numFmtId="173" fontId="34" fillId="0" borderId="5">
      <alignment horizontal="right"/>
      <protection hidden="1"/>
    </xf>
    <xf numFmtId="173" fontId="34" fillId="0" borderId="5">
      <alignment horizontal="right"/>
      <protection hidden="1"/>
    </xf>
    <xf numFmtId="173" fontId="34" fillId="0" borderId="5">
      <alignment horizontal="right"/>
      <protection hidden="1"/>
    </xf>
    <xf numFmtId="173" fontId="34" fillId="0" borderId="5">
      <alignment horizontal="right"/>
      <protection hidden="1"/>
    </xf>
    <xf numFmtId="173" fontId="34" fillId="0" borderId="5">
      <alignment horizontal="right"/>
      <protection hidden="1"/>
    </xf>
    <xf numFmtId="173" fontId="34" fillId="0" borderId="5">
      <alignment horizontal="right"/>
      <protection hidden="1"/>
    </xf>
    <xf numFmtId="173" fontId="34" fillId="0" borderId="5">
      <alignment horizontal="right"/>
      <protection hidden="1"/>
    </xf>
    <xf numFmtId="173" fontId="34" fillId="0" borderId="5">
      <alignment horizontal="right"/>
      <protection hidden="1"/>
    </xf>
    <xf numFmtId="173" fontId="34" fillId="0" borderId="5">
      <alignment horizontal="right"/>
      <protection hidden="1"/>
    </xf>
    <xf numFmtId="1" fontId="34" fillId="0" borderId="0">
      <alignment horizontal="lef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3" fontId="35" fillId="0" borderId="5">
      <alignment horizontal="right"/>
      <protection hidden="1"/>
    </xf>
    <xf numFmtId="173" fontId="35" fillId="0" borderId="5">
      <alignment horizontal="right"/>
      <protection hidden="1"/>
    </xf>
    <xf numFmtId="173" fontId="35" fillId="0" borderId="5">
      <alignment horizontal="right"/>
      <protection hidden="1"/>
    </xf>
    <xf numFmtId="173" fontId="35" fillId="0" borderId="5">
      <alignment horizontal="right"/>
      <protection hidden="1"/>
    </xf>
    <xf numFmtId="173" fontId="35" fillId="0" borderId="5">
      <alignment horizontal="right"/>
      <protection hidden="1"/>
    </xf>
    <xf numFmtId="173" fontId="35" fillId="0" borderId="5">
      <alignment horizontal="right"/>
      <protection hidden="1"/>
    </xf>
    <xf numFmtId="173" fontId="35" fillId="0" borderId="5">
      <alignment horizontal="right"/>
      <protection hidden="1"/>
    </xf>
    <xf numFmtId="173" fontId="35" fillId="0" borderId="5">
      <alignment horizontal="right"/>
      <protection hidden="1"/>
    </xf>
    <xf numFmtId="173" fontId="35" fillId="0" borderId="5">
      <alignment horizontal="right"/>
      <protection hidden="1"/>
    </xf>
    <xf numFmtId="173" fontId="35" fillId="0" borderId="5">
      <alignment horizontal="right"/>
      <protection hidden="1"/>
    </xf>
    <xf numFmtId="173" fontId="35" fillId="0" borderId="5">
      <alignment horizontal="right"/>
      <protection hidden="1"/>
    </xf>
    <xf numFmtId="173" fontId="35" fillId="0" borderId="5">
      <alignment horizontal="right"/>
      <protection hidden="1"/>
    </xf>
    <xf numFmtId="173" fontId="35" fillId="0" borderId="5">
      <alignment horizontal="right"/>
      <protection hidden="1"/>
    </xf>
    <xf numFmtId="173" fontId="35" fillId="0" borderId="5">
      <alignment horizontal="right"/>
      <protection hidden="1"/>
    </xf>
    <xf numFmtId="173" fontId="35" fillId="0" borderId="5">
      <alignment horizontal="right"/>
      <protection hidden="1"/>
    </xf>
    <xf numFmtId="173" fontId="35" fillId="0" borderId="5">
      <alignment horizontal="right"/>
      <protection hidden="1"/>
    </xf>
    <xf numFmtId="173" fontId="35" fillId="0" borderId="5">
      <alignment horizontal="right"/>
      <protection hidden="1"/>
    </xf>
    <xf numFmtId="173" fontId="35" fillId="0" borderId="5">
      <alignment horizontal="right"/>
      <protection hidden="1"/>
    </xf>
    <xf numFmtId="173" fontId="35" fillId="0" borderId="5">
      <alignment horizontal="right"/>
      <protection hidden="1"/>
    </xf>
    <xf numFmtId="173" fontId="35" fillId="0" borderId="5">
      <alignment horizontal="right"/>
      <protection hidden="1"/>
    </xf>
    <xf numFmtId="173" fontId="35" fillId="0" borderId="5">
      <alignment horizontal="right"/>
      <protection hidden="1"/>
    </xf>
    <xf numFmtId="1" fontId="35" fillId="0" borderId="0"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3" fontId="35" fillId="0" borderId="5">
      <alignment horizontal="right"/>
      <protection hidden="1"/>
    </xf>
    <xf numFmtId="173" fontId="35" fillId="0" borderId="5">
      <alignment horizontal="right"/>
      <protection hidden="1"/>
    </xf>
    <xf numFmtId="173" fontId="35" fillId="0" borderId="5">
      <alignment horizontal="right"/>
      <protection hidden="1"/>
    </xf>
    <xf numFmtId="173" fontId="35" fillId="0" borderId="5">
      <alignment horizontal="right"/>
      <protection hidden="1"/>
    </xf>
    <xf numFmtId="173" fontId="35" fillId="0" borderId="5">
      <alignment horizontal="right"/>
      <protection hidden="1"/>
    </xf>
    <xf numFmtId="173" fontId="35" fillId="0" borderId="5">
      <alignment horizontal="right"/>
      <protection hidden="1"/>
    </xf>
    <xf numFmtId="173" fontId="35" fillId="0" borderId="5">
      <alignment horizontal="right"/>
      <protection hidden="1"/>
    </xf>
    <xf numFmtId="173" fontId="35" fillId="0" borderId="5">
      <alignment horizontal="right"/>
      <protection hidden="1"/>
    </xf>
    <xf numFmtId="173" fontId="35" fillId="0" borderId="5">
      <alignment horizontal="right"/>
      <protection hidden="1"/>
    </xf>
    <xf numFmtId="173" fontId="35" fillId="0" borderId="5">
      <alignment horizontal="right"/>
      <protection hidden="1"/>
    </xf>
    <xf numFmtId="173" fontId="35" fillId="0" borderId="5">
      <alignment horizontal="right"/>
      <protection hidden="1"/>
    </xf>
    <xf numFmtId="173" fontId="35" fillId="0" borderId="5">
      <alignment horizontal="right"/>
      <protection hidden="1"/>
    </xf>
    <xf numFmtId="173" fontId="35" fillId="0" borderId="5">
      <alignment horizontal="right"/>
      <protection hidden="1"/>
    </xf>
    <xf numFmtId="173" fontId="35" fillId="0" borderId="5">
      <alignment horizontal="right"/>
      <protection hidden="1"/>
    </xf>
    <xf numFmtId="173" fontId="35" fillId="0" borderId="5">
      <alignment horizontal="right"/>
      <protection hidden="1"/>
    </xf>
    <xf numFmtId="173" fontId="35" fillId="0" borderId="5">
      <alignment horizontal="right"/>
      <protection hidden="1"/>
    </xf>
    <xf numFmtId="173" fontId="35" fillId="0" borderId="5">
      <alignment horizontal="right"/>
      <protection hidden="1"/>
    </xf>
    <xf numFmtId="173" fontId="35" fillId="0" borderId="5">
      <alignment horizontal="right"/>
      <protection hidden="1"/>
    </xf>
    <xf numFmtId="173" fontId="35" fillId="0" borderId="5">
      <alignment horizontal="right"/>
      <protection hidden="1"/>
    </xf>
    <xf numFmtId="173" fontId="35" fillId="0" borderId="5">
      <alignment horizontal="right"/>
      <protection hidden="1"/>
    </xf>
    <xf numFmtId="173" fontId="35" fillId="0" borderId="5">
      <alignment horizontal="righ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71" fontId="34" fillId="24" borderId="5">
      <alignment horizontal="right"/>
      <protection locked="0"/>
    </xf>
    <xf numFmtId="171" fontId="34" fillId="24" borderId="5">
      <alignment horizontal="right"/>
      <protection locked="0"/>
    </xf>
    <xf numFmtId="171" fontId="34" fillId="24" borderId="5">
      <alignment horizontal="right"/>
      <protection locked="0"/>
    </xf>
    <xf numFmtId="171" fontId="34" fillId="24" borderId="5">
      <alignment horizontal="right"/>
      <protection locked="0"/>
    </xf>
    <xf numFmtId="171" fontId="34" fillId="24" borderId="5">
      <alignment horizontal="right"/>
      <protection locked="0"/>
    </xf>
    <xf numFmtId="171" fontId="34" fillId="24" borderId="5">
      <alignment horizontal="right"/>
      <protection locked="0"/>
    </xf>
    <xf numFmtId="171" fontId="34" fillId="24" borderId="5">
      <alignment horizontal="right"/>
      <protection locked="0"/>
    </xf>
    <xf numFmtId="171" fontId="34" fillId="24" borderId="5">
      <alignment horizontal="right"/>
      <protection locked="0"/>
    </xf>
    <xf numFmtId="171" fontId="34" fillId="24" borderId="5">
      <alignment horizontal="right"/>
      <protection locked="0"/>
    </xf>
    <xf numFmtId="171" fontId="34" fillId="24" borderId="5">
      <alignment horizontal="right"/>
      <protection locked="0"/>
    </xf>
    <xf numFmtId="171" fontId="34" fillId="24" borderId="5">
      <alignment horizontal="right"/>
      <protection locked="0"/>
    </xf>
    <xf numFmtId="171" fontId="34" fillId="24" borderId="5">
      <alignment horizontal="right"/>
      <protection locked="0"/>
    </xf>
    <xf numFmtId="171" fontId="34" fillId="24" borderId="5">
      <alignment horizontal="right"/>
      <protection locked="0"/>
    </xf>
    <xf numFmtId="171" fontId="34" fillId="24" borderId="5">
      <alignment horizontal="right"/>
      <protection locked="0"/>
    </xf>
    <xf numFmtId="171" fontId="34" fillId="24" borderId="5">
      <alignment horizontal="right"/>
      <protection locked="0"/>
    </xf>
    <xf numFmtId="171" fontId="34" fillId="24" borderId="5">
      <alignment horizontal="right"/>
      <protection locked="0"/>
    </xf>
    <xf numFmtId="171" fontId="34" fillId="24" borderId="5">
      <alignment horizontal="right"/>
      <protection locked="0"/>
    </xf>
    <xf numFmtId="171" fontId="34" fillId="24" borderId="5">
      <alignment horizontal="right"/>
      <protection locked="0"/>
    </xf>
    <xf numFmtId="171" fontId="34" fillId="24" borderId="5">
      <alignment horizontal="right"/>
      <protection locked="0"/>
    </xf>
    <xf numFmtId="171" fontId="34" fillId="24" borderId="5">
      <alignment horizontal="right"/>
      <protection locked="0"/>
    </xf>
    <xf numFmtId="171" fontId="34" fillId="24" borderId="5">
      <alignment horizontal="right"/>
      <protection locked="0"/>
    </xf>
    <xf numFmtId="173" fontId="34" fillId="25" borderId="5" applyBorder="0">
      <alignment horizontal="right"/>
      <protection locked="0"/>
    </xf>
    <xf numFmtId="173" fontId="34" fillId="25" borderId="5" applyBorder="0">
      <alignment horizontal="right"/>
      <protection locked="0"/>
    </xf>
    <xf numFmtId="173" fontId="34" fillId="25" borderId="5" applyBorder="0">
      <alignment horizontal="right"/>
      <protection locked="0"/>
    </xf>
    <xf numFmtId="173" fontId="34" fillId="25" borderId="5" applyBorder="0">
      <alignment horizontal="right"/>
      <protection locked="0"/>
    </xf>
    <xf numFmtId="173" fontId="34" fillId="25" borderId="5" applyBorder="0">
      <alignment horizontal="right"/>
      <protection locked="0"/>
    </xf>
    <xf numFmtId="173" fontId="34" fillId="25" borderId="5" applyBorder="0">
      <alignment horizontal="right"/>
      <protection locked="0"/>
    </xf>
    <xf numFmtId="173" fontId="34" fillId="25" borderId="5" applyBorder="0">
      <alignment horizontal="right"/>
      <protection locked="0"/>
    </xf>
    <xf numFmtId="173" fontId="34" fillId="25" borderId="5" applyBorder="0">
      <alignment horizontal="right"/>
      <protection locked="0"/>
    </xf>
    <xf numFmtId="173" fontId="34" fillId="25" borderId="5" applyBorder="0">
      <alignment horizontal="right"/>
      <protection locked="0"/>
    </xf>
    <xf numFmtId="173" fontId="34" fillId="25" borderId="5" applyBorder="0">
      <alignment horizontal="right"/>
      <protection locked="0"/>
    </xf>
    <xf numFmtId="173" fontId="34" fillId="25" borderId="5" applyBorder="0">
      <alignment horizontal="right"/>
      <protection locked="0"/>
    </xf>
    <xf numFmtId="173" fontId="34" fillId="25" borderId="5" applyBorder="0">
      <alignment horizontal="right"/>
      <protection locked="0"/>
    </xf>
    <xf numFmtId="173" fontId="34" fillId="25" borderId="5" applyBorder="0">
      <alignment horizontal="right"/>
      <protection locked="0"/>
    </xf>
    <xf numFmtId="173" fontId="34" fillId="25" borderId="5" applyBorder="0">
      <alignment horizontal="right"/>
      <protection locked="0"/>
    </xf>
    <xf numFmtId="173" fontId="34" fillId="25" borderId="5" applyBorder="0">
      <alignment horizontal="right"/>
      <protection locked="0"/>
    </xf>
    <xf numFmtId="173" fontId="34" fillId="25" borderId="5" applyBorder="0">
      <alignment horizontal="right"/>
      <protection locked="0"/>
    </xf>
    <xf numFmtId="173" fontId="34" fillId="25" borderId="5" applyBorder="0">
      <alignment horizontal="right"/>
      <protection locked="0"/>
    </xf>
    <xf numFmtId="173" fontId="34" fillId="25" borderId="5" applyBorder="0">
      <alignment horizontal="right"/>
      <protection locked="0"/>
    </xf>
    <xf numFmtId="173" fontId="34" fillId="25" borderId="5" applyBorder="0">
      <alignment horizontal="right"/>
      <protection locked="0"/>
    </xf>
    <xf numFmtId="173" fontId="34" fillId="25" borderId="5" applyBorder="0">
      <alignment horizontal="right"/>
      <protection locked="0"/>
    </xf>
    <xf numFmtId="173" fontId="34" fillId="25" borderId="5" applyBorder="0">
      <alignment horizontal="right"/>
      <protection locked="0"/>
    </xf>
    <xf numFmtId="0" fontId="36" fillId="0" borderId="0"/>
    <xf numFmtId="0" fontId="37" fillId="0" borderId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8" fillId="0" borderId="0"/>
    <xf numFmtId="0" fontId="38" fillId="0" borderId="0"/>
    <xf numFmtId="0" fontId="39" fillId="26" borderId="0" applyNumberFormat="0" applyBorder="0" applyAlignment="0" applyProtection="0"/>
    <xf numFmtId="0" fontId="39" fillId="9" borderId="0" applyNumberFormat="0" applyBorder="0" applyAlignment="0" applyProtection="0"/>
    <xf numFmtId="0" fontId="39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27" borderId="0" applyNumberFormat="0" applyBorder="0" applyAlignment="0" applyProtection="0"/>
    <xf numFmtId="0" fontId="39" fillId="29" borderId="0" applyNumberFormat="0" applyBorder="0" applyAlignment="0" applyProtection="0"/>
    <xf numFmtId="0" fontId="39" fillId="9" borderId="0" applyNumberFormat="0" applyBorder="0" applyAlignment="0" applyProtection="0"/>
    <xf numFmtId="0" fontId="39" fillId="3" borderId="0" applyNumberFormat="0" applyBorder="0" applyAlignment="0" applyProtection="0"/>
    <xf numFmtId="0" fontId="39" fillId="8" borderId="0" applyNumberFormat="0" applyBorder="0" applyAlignment="0" applyProtection="0"/>
    <xf numFmtId="0" fontId="39" fillId="29" borderId="0" applyNumberFormat="0" applyBorder="0" applyAlignment="0" applyProtection="0"/>
    <xf numFmtId="0" fontId="39" fillId="27" borderId="0" applyNumberFormat="0" applyBorder="0" applyAlignment="0" applyProtection="0"/>
    <xf numFmtId="0" fontId="40" fillId="29" borderId="0" applyNumberFormat="0" applyBorder="0" applyAlignment="0" applyProtection="0"/>
    <xf numFmtId="0" fontId="40" fillId="13" borderId="0" applyNumberFormat="0" applyBorder="0" applyAlignment="0" applyProtection="0"/>
    <xf numFmtId="0" fontId="40" fillId="11" borderId="0" applyNumberFormat="0" applyBorder="0" applyAlignment="0" applyProtection="0"/>
    <xf numFmtId="0" fontId="40" fillId="8" borderId="0" applyNumberFormat="0" applyBorder="0" applyAlignment="0" applyProtection="0"/>
    <xf numFmtId="0" fontId="40" fillId="29" borderId="0" applyNumberFormat="0" applyBorder="0" applyAlignment="0" applyProtection="0"/>
    <xf numFmtId="0" fontId="40" fillId="9" borderId="0" applyNumberFormat="0" applyBorder="0" applyAlignment="0" applyProtection="0"/>
    <xf numFmtId="0" fontId="41" fillId="30" borderId="0" applyNumberFormat="0" applyBorder="0" applyAlignment="0" applyProtection="0"/>
    <xf numFmtId="0" fontId="41" fillId="31" borderId="0" applyNumberFormat="0" applyBorder="0" applyAlignment="0" applyProtection="0"/>
    <xf numFmtId="0" fontId="42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34" borderId="0" applyNumberFormat="0" applyBorder="0" applyAlignment="0" applyProtection="0"/>
    <xf numFmtId="0" fontId="4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42" fillId="38" borderId="0" applyNumberFormat="0" applyBorder="0" applyAlignment="0" applyProtection="0"/>
    <xf numFmtId="0" fontId="41" fillId="33" borderId="0" applyNumberFormat="0" applyBorder="0" applyAlignment="0" applyProtection="0"/>
    <xf numFmtId="0" fontId="41" fillId="39" borderId="0" applyNumberFormat="0" applyBorder="0" applyAlignment="0" applyProtection="0"/>
    <xf numFmtId="0" fontId="42" fillId="34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2" fillId="32" borderId="0" applyNumberFormat="0" applyBorder="0" applyAlignment="0" applyProtection="0"/>
    <xf numFmtId="0" fontId="41" fillId="25" borderId="0" applyNumberFormat="0" applyBorder="0" applyAlignment="0" applyProtection="0"/>
    <xf numFmtId="0" fontId="41" fillId="42" borderId="0" applyNumberFormat="0" applyBorder="0" applyAlignment="0" applyProtection="0"/>
    <xf numFmtId="0" fontId="42" fillId="43" borderId="0" applyNumberFormat="0" applyBorder="0" applyAlignment="0" applyProtection="0"/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4" fillId="0" borderId="0">
      <alignment horizontal="center" wrapText="1"/>
      <protection locked="0"/>
    </xf>
    <xf numFmtId="0" fontId="44" fillId="0" borderId="0">
      <alignment horizontal="center" wrapText="1"/>
      <protection locked="0"/>
    </xf>
    <xf numFmtId="0" fontId="44" fillId="0" borderId="0">
      <alignment horizontal="center" wrapText="1"/>
      <protection locked="0"/>
    </xf>
    <xf numFmtId="0" fontId="44" fillId="0" borderId="0">
      <alignment horizontal="center" wrapText="1"/>
      <protection locked="0"/>
    </xf>
    <xf numFmtId="174" fontId="9" fillId="0" borderId="0" applyFill="0" applyBorder="0" applyAlignment="0"/>
    <xf numFmtId="174" fontId="9" fillId="0" borderId="0" applyFill="0" applyBorder="0" applyAlignment="0"/>
    <xf numFmtId="174" fontId="9" fillId="0" borderId="0" applyFill="0" applyBorder="0" applyAlignment="0"/>
    <xf numFmtId="174" fontId="9" fillId="0" borderId="0" applyFill="0" applyBorder="0" applyAlignment="0"/>
    <xf numFmtId="1" fontId="45" fillId="0" borderId="8" applyAlignment="0">
      <alignment horizontal="left" vertical="center"/>
    </xf>
    <xf numFmtId="175" fontId="46" fillId="4" borderId="9" applyNumberFormat="0" applyFont="0" applyFill="0" applyBorder="0" applyAlignment="0">
      <alignment horizontal="center"/>
    </xf>
    <xf numFmtId="175" fontId="46" fillId="4" borderId="9" applyNumberFormat="0" applyFont="0" applyFill="0" applyBorder="0" applyAlignment="0">
      <alignment horizontal="center"/>
    </xf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9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2" fillId="0" borderId="0" applyNumberFormat="0" applyAlignment="0"/>
    <xf numFmtId="0" fontId="53" fillId="0" borderId="0" applyNumberFormat="0" applyAlignment="0"/>
    <xf numFmtId="0" fontId="52" fillId="0" borderId="0" applyNumberFormat="0" applyAlignment="0"/>
    <xf numFmtId="0" fontId="53" fillId="0" borderId="0" applyNumberFormat="0" applyAlignment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4" fontId="48" fillId="0" borderId="0" applyFill="0" applyBorder="0" applyAlignment="0" applyProtection="0"/>
    <xf numFmtId="4" fontId="48" fillId="0" borderId="0" applyFill="0" applyBorder="0" applyAlignment="0" applyProtection="0"/>
    <xf numFmtId="4" fontId="48" fillId="0" borderId="0" applyFill="0" applyBorder="0" applyAlignment="0" applyProtection="0"/>
    <xf numFmtId="0" fontId="54" fillId="0" borderId="0">
      <alignment horizontal="center" vertical="center"/>
    </xf>
    <xf numFmtId="0" fontId="54" fillId="44" borderId="0">
      <alignment horizontal="center" vertical="center"/>
    </xf>
    <xf numFmtId="0" fontId="54" fillId="45" borderId="0">
      <alignment horizontal="center" vertical="center"/>
    </xf>
    <xf numFmtId="0" fontId="54" fillId="46" borderId="0">
      <alignment horizontal="center" vertical="center"/>
    </xf>
    <xf numFmtId="15" fontId="38" fillId="0" borderId="0"/>
    <xf numFmtId="15" fontId="38" fillId="0" borderId="0"/>
    <xf numFmtId="15" fontId="38" fillId="0" borderId="0"/>
    <xf numFmtId="15" fontId="38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5" fillId="47" borderId="0" applyNumberFormat="0" applyBorder="0" applyAlignment="0" applyProtection="0"/>
    <xf numFmtId="0" fontId="55" fillId="48" borderId="0" applyNumberFormat="0" applyBorder="0" applyAlignment="0" applyProtection="0"/>
    <xf numFmtId="0" fontId="55" fillId="49" borderId="0" applyNumberFormat="0" applyBorder="0" applyAlignment="0" applyProtection="0"/>
    <xf numFmtId="0" fontId="56" fillId="0" borderId="0" applyNumberFormat="0" applyAlignment="0">
      <alignment horizontal="left"/>
    </xf>
    <xf numFmtId="0" fontId="57" fillId="0" borderId="0" applyNumberFormat="0" applyAlignment="0">
      <alignment horizontal="left"/>
    </xf>
    <xf numFmtId="0" fontId="56" fillId="0" borderId="0" applyNumberFormat="0" applyAlignment="0">
      <alignment horizontal="left"/>
    </xf>
    <xf numFmtId="0" fontId="56" fillId="0" borderId="0" applyNumberFormat="0" applyAlignment="0">
      <alignment horizontal="left"/>
    </xf>
    <xf numFmtId="38" fontId="58" fillId="50" borderId="0" applyNumberFormat="0" applyBorder="0" applyAlignment="0" applyProtection="0"/>
    <xf numFmtId="0" fontId="59" fillId="0" borderId="12" applyNumberFormat="0" applyAlignment="0" applyProtection="0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60" fillId="51" borderId="0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76" fontId="9" fillId="52" borderId="0"/>
    <xf numFmtId="176" fontId="9" fillId="52" borderId="0"/>
    <xf numFmtId="176" fontId="9" fillId="52" borderId="0"/>
    <xf numFmtId="176" fontId="9" fillId="52" borderId="0"/>
    <xf numFmtId="0" fontId="61" fillId="53" borderId="13" applyNumberFormat="0" applyAlignment="0" applyProtection="0"/>
    <xf numFmtId="176" fontId="9" fillId="54" borderId="0"/>
    <xf numFmtId="176" fontId="9" fillId="54" borderId="0"/>
    <xf numFmtId="176" fontId="9" fillId="54" borderId="0"/>
    <xf numFmtId="176" fontId="9" fillId="54" borderId="0"/>
    <xf numFmtId="177" fontId="48" fillId="0" borderId="0" applyFill="0" applyBorder="0" applyAlignment="0" applyProtection="0"/>
    <xf numFmtId="177" fontId="48" fillId="0" borderId="0" applyFill="0" applyBorder="0" applyAlignment="0" applyProtection="0"/>
    <xf numFmtId="177" fontId="48" fillId="0" borderId="0" applyFill="0" applyBorder="0" applyAlignment="0" applyProtection="0"/>
    <xf numFmtId="178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0" fontId="62" fillId="0" borderId="14" applyNumberFormat="0" applyFill="0" applyAlignment="0" applyProtection="0"/>
    <xf numFmtId="0" fontId="63" fillId="0" borderId="15" applyNumberFormat="0" applyFill="0" applyAlignment="0" applyProtection="0"/>
    <xf numFmtId="0" fontId="64" fillId="0" borderId="16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3" borderId="0" applyNumberFormat="0" applyBorder="0" applyAlignment="0" applyProtection="0"/>
    <xf numFmtId="0" fontId="26" fillId="23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0" fontId="9" fillId="0" borderId="0" applyNumberFormat="0" applyFill="0" applyBorder="0" applyAlignment="0" applyProtection="0"/>
    <xf numFmtId="0" fontId="7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71" fillId="0" borderId="0"/>
    <xf numFmtId="0" fontId="71" fillId="0" borderId="0"/>
    <xf numFmtId="0" fontId="72" fillId="0" borderId="0"/>
    <xf numFmtId="0" fontId="36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9" fillId="0" borderId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4" fontId="44" fillId="0" borderId="0">
      <alignment horizontal="center" wrapText="1"/>
      <protection locked="0"/>
    </xf>
    <xf numFmtId="14" fontId="44" fillId="0" borderId="0">
      <alignment horizontal="center" wrapText="1"/>
      <protection locked="0"/>
    </xf>
    <xf numFmtId="14" fontId="44" fillId="0" borderId="0">
      <alignment horizontal="center" wrapText="1"/>
      <protection locked="0"/>
    </xf>
    <xf numFmtId="14" fontId="44" fillId="0" borderId="0">
      <alignment horizontal="center" wrapText="1"/>
      <protection locked="0"/>
    </xf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2" fontId="48" fillId="0" borderId="0" applyFill="0" applyBorder="0" applyAlignment="0" applyProtection="0"/>
    <xf numFmtId="2" fontId="48" fillId="0" borderId="0" applyFill="0" applyBorder="0" applyAlignment="0" applyProtection="0"/>
    <xf numFmtId="2" fontId="48" fillId="0" borderId="0" applyFill="0" applyBorder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0" borderId="0"/>
    <xf numFmtId="0" fontId="36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3" fillId="0" borderId="18" applyNumberFormat="0" applyFill="0" applyAlignment="0" applyProtection="0"/>
    <xf numFmtId="0" fontId="38" fillId="0" borderId="0" applyNumberFormat="0" applyFont="0" applyFill="0" applyBorder="0" applyAlignment="0" applyProtection="0">
      <alignment horizontal="left"/>
    </xf>
    <xf numFmtId="0" fontId="38" fillId="0" borderId="0" applyNumberFormat="0" applyFont="0" applyFill="0" applyBorder="0" applyAlignment="0" applyProtection="0">
      <alignment horizontal="left"/>
    </xf>
    <xf numFmtId="0" fontId="38" fillId="0" borderId="0" applyNumberFormat="0" applyFont="0" applyFill="0" applyBorder="0" applyAlignment="0" applyProtection="0">
      <alignment horizontal="left"/>
    </xf>
    <xf numFmtId="183" fontId="9" fillId="0" borderId="0" applyNumberFormat="0" applyFill="0" applyBorder="0" applyAlignment="0" applyProtection="0">
      <alignment horizontal="left"/>
    </xf>
    <xf numFmtId="183" fontId="9" fillId="0" borderId="0" applyNumberFormat="0" applyFill="0" applyBorder="0" applyAlignment="0" applyProtection="0">
      <alignment horizontal="left"/>
    </xf>
    <xf numFmtId="183" fontId="9" fillId="0" borderId="0" applyNumberFormat="0" applyFill="0" applyBorder="0" applyAlignment="0" applyProtection="0">
      <alignment horizontal="left"/>
    </xf>
    <xf numFmtId="183" fontId="9" fillId="0" borderId="0" applyNumberFormat="0" applyFill="0" applyBorder="0" applyAlignment="0" applyProtection="0">
      <alignment horizontal="left"/>
    </xf>
    <xf numFmtId="0" fontId="49" fillId="0" borderId="0" applyNumberFormat="0" applyFill="0" applyBorder="0" applyAlignment="0" applyProtection="0"/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0" fontId="9" fillId="0" borderId="0"/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0" fontId="9" fillId="0" borderId="0"/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0" fontId="9" fillId="0" borderId="0"/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9" fillId="0" borderId="0"/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0" fontId="9" fillId="0" borderId="0"/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0" fontId="9" fillId="0" borderId="0"/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0" fontId="9" fillId="0" borderId="0"/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0" fontId="9" fillId="0" borderId="0"/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0" fontId="9" fillId="0" borderId="0"/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0" fontId="9" fillId="0" borderId="0"/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0" fontId="9" fillId="0" borderId="0"/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0" fontId="9" fillId="0" borderId="0"/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0" fontId="9" fillId="0" borderId="0"/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0" fontId="9" fillId="0" borderId="0"/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0" fontId="9" fillId="0" borderId="0"/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0" fontId="9" fillId="0" borderId="0"/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0" fontId="9" fillId="0" borderId="0"/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0" fontId="9" fillId="0" borderId="0"/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0" fontId="9" fillId="0" borderId="0"/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9" fillId="58" borderId="19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9" fillId="0" borderId="0"/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9" fillId="0" borderId="0"/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9" fillId="60" borderId="19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9" fillId="0" borderId="0"/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9" fillId="0" borderId="0"/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9" fillId="0" borderId="0"/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9" fillId="0" borderId="0"/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9" fillId="0" borderId="0"/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9" fillId="0" borderId="0"/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0" borderId="0"/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58" fillId="62" borderId="22" applyNumberFormat="0">
      <protection locked="0"/>
    </xf>
    <xf numFmtId="0" fontId="9" fillId="0" borderId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0" fontId="9" fillId="0" borderId="0"/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0" fontId="9" fillId="0" borderId="0"/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0" fontId="9" fillId="0" borderId="0"/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9" fillId="0" borderId="0"/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0" fontId="9" fillId="0" borderId="0"/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0" fontId="9" fillId="0" borderId="0"/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45" fillId="0" borderId="0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45" fillId="0" borderId="0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0" borderId="0"/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79" fillId="0" borderId="0"/>
    <xf numFmtId="0" fontId="9" fillId="0" borderId="0"/>
    <xf numFmtId="0" fontId="79" fillId="0" borderId="0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0" fontId="9" fillId="0" borderId="0"/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0" fontId="81" fillId="0" borderId="0" applyNumberFormat="0" applyFill="0" applyBorder="0" applyAlignment="0" applyProtection="0"/>
    <xf numFmtId="0" fontId="82" fillId="29" borderId="0" applyNumberFormat="0" applyBorder="0" applyAlignment="0" applyProtection="0"/>
    <xf numFmtId="0" fontId="25" fillId="22" borderId="0" applyNumberFormat="0" applyBorder="0" applyAlignment="0" applyProtection="0"/>
    <xf numFmtId="0" fontId="83" fillId="0" borderId="0"/>
    <xf numFmtId="40" fontId="84" fillId="0" borderId="0" applyBorder="0">
      <alignment horizontal="right"/>
    </xf>
    <xf numFmtId="0" fontId="73" fillId="0" borderId="0" applyNumberFormat="0" applyFill="0" applyBorder="0" applyAlignment="0" applyProtection="0"/>
    <xf numFmtId="0" fontId="85" fillId="3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6" fillId="62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8" fillId="62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9" fillId="0" borderId="0" applyNumberFormat="0" applyFill="0" applyBorder="0" applyAlignment="0" applyProtection="0"/>
    <xf numFmtId="0" fontId="40" fillId="65" borderId="0" applyNumberFormat="0" applyBorder="0" applyAlignment="0" applyProtection="0"/>
    <xf numFmtId="0" fontId="40" fillId="13" borderId="0" applyNumberFormat="0" applyBorder="0" applyAlignment="0" applyProtection="0"/>
    <xf numFmtId="0" fontId="40" fillId="11" borderId="0" applyNumberFormat="0" applyBorder="0" applyAlignment="0" applyProtection="0"/>
    <xf numFmtId="0" fontId="40" fillId="56" borderId="0" applyNumberFormat="0" applyBorder="0" applyAlignment="0" applyProtection="0"/>
    <xf numFmtId="0" fontId="40" fillId="66" borderId="0" applyNumberFormat="0" applyBorder="0" applyAlignment="0" applyProtection="0"/>
    <xf numFmtId="0" fontId="40" fillId="10" borderId="0" applyNumberFormat="0" applyBorder="0" applyAlignment="0" applyProtection="0"/>
    <xf numFmtId="0" fontId="9" fillId="0" borderId="0"/>
    <xf numFmtId="0" fontId="3" fillId="0" borderId="0"/>
    <xf numFmtId="0" fontId="2" fillId="0" borderId="0"/>
    <xf numFmtId="0" fontId="1" fillId="0" borderId="0"/>
    <xf numFmtId="0" fontId="9" fillId="0" borderId="0"/>
  </cellStyleXfs>
  <cellXfs count="502">
    <xf numFmtId="0" fontId="0" fillId="0" borderId="0" xfId="0"/>
    <xf numFmtId="0" fontId="92" fillId="0" borderId="0" xfId="2" applyFont="1" applyAlignment="1">
      <alignment horizontal="left"/>
    </xf>
    <xf numFmtId="0" fontId="94" fillId="0" borderId="0" xfId="2" applyFont="1"/>
    <xf numFmtId="0" fontId="95" fillId="0" borderId="0" xfId="2" applyFont="1"/>
    <xf numFmtId="0" fontId="45" fillId="0" borderId="0" xfId="2" applyFont="1"/>
    <xf numFmtId="0" fontId="96" fillId="0" borderId="0" xfId="2" applyFont="1" applyAlignment="1">
      <alignment horizontal="left"/>
    </xf>
    <xf numFmtId="0" fontId="45" fillId="0" borderId="0" xfId="2" applyFont="1" applyAlignment="1">
      <alignment horizontal="left" vertical="top" wrapText="1"/>
    </xf>
    <xf numFmtId="0" fontId="45" fillId="0" borderId="0" xfId="2" applyFont="1" applyAlignment="1">
      <alignment horizontal="center" vertical="top" wrapText="1"/>
    </xf>
    <xf numFmtId="0" fontId="45" fillId="0" borderId="0" xfId="2" applyFont="1" applyAlignment="1">
      <alignment vertical="top"/>
    </xf>
    <xf numFmtId="0" fontId="11" fillId="0" borderId="0" xfId="2" applyFont="1" applyAlignment="1">
      <alignment vertical="top" wrapText="1"/>
    </xf>
    <xf numFmtId="0" fontId="91" fillId="0" borderId="0" xfId="2" applyFont="1" applyAlignment="1">
      <alignment horizontal="left" vertical="top" wrapText="1"/>
    </xf>
    <xf numFmtId="0" fontId="92" fillId="0" borderId="0" xfId="2" applyFont="1" applyAlignment="1">
      <alignment horizontal="justify" vertical="top" wrapText="1"/>
    </xf>
    <xf numFmtId="0" fontId="91" fillId="0" borderId="0" xfId="2" applyFont="1" applyAlignment="1">
      <alignment horizontal="left" vertical="top"/>
    </xf>
    <xf numFmtId="0" fontId="92" fillId="0" borderId="0" xfId="2" applyFont="1" applyAlignment="1">
      <alignment horizontal="left" vertical="top" wrapText="1"/>
    </xf>
    <xf numFmtId="0" fontId="92" fillId="0" borderId="0" xfId="2" applyFont="1" applyAlignment="1">
      <alignment vertical="top"/>
    </xf>
    <xf numFmtId="0" fontId="92" fillId="0" borderId="0" xfId="527" applyFont="1" applyAlignment="1">
      <alignment horizontal="left" vertical="top" wrapText="1"/>
    </xf>
    <xf numFmtId="0" fontId="92" fillId="0" borderId="0" xfId="2" applyFont="1" applyAlignment="1">
      <alignment vertical="top" wrapText="1"/>
    </xf>
    <xf numFmtId="0" fontId="92" fillId="0" borderId="0" xfId="527" applyFont="1" applyAlignment="1">
      <alignment vertical="top" wrapText="1"/>
    </xf>
    <xf numFmtId="0" fontId="98" fillId="0" borderId="0" xfId="2" applyFont="1" applyAlignment="1">
      <alignment horizontal="right"/>
    </xf>
    <xf numFmtId="0" fontId="92" fillId="0" borderId="0" xfId="2" applyFont="1"/>
    <xf numFmtId="0" fontId="92" fillId="0" borderId="0" xfId="2" applyFont="1" applyAlignment="1">
      <alignment horizontal="left" vertical="top"/>
    </xf>
    <xf numFmtId="0" fontId="98" fillId="0" borderId="0" xfId="2" applyFont="1"/>
    <xf numFmtId="0" fontId="99" fillId="0" borderId="0" xfId="2" applyFont="1"/>
    <xf numFmtId="0" fontId="100" fillId="0" borderId="0" xfId="2" applyFont="1"/>
    <xf numFmtId="0" fontId="101" fillId="0" borderId="0" xfId="2" applyFont="1"/>
    <xf numFmtId="0" fontId="54" fillId="2" borderId="0" xfId="2" applyFont="1" applyFill="1" applyAlignment="1">
      <alignment vertical="top" wrapText="1"/>
    </xf>
    <xf numFmtId="0" fontId="99" fillId="0" borderId="0" xfId="2" applyFont="1" applyAlignment="1">
      <alignment vertical="top" wrapText="1"/>
    </xf>
    <xf numFmtId="3" fontId="92" fillId="0" borderId="0" xfId="2" applyNumberFormat="1" applyFont="1"/>
    <xf numFmtId="0" fontId="54" fillId="2" borderId="0" xfId="2" applyFont="1" applyFill="1" applyAlignment="1">
      <alignment horizontal="right" vertical="top" wrapText="1"/>
    </xf>
    <xf numFmtId="0" fontId="99" fillId="0" borderId="0" xfId="2" applyFont="1" applyAlignment="1">
      <alignment horizontal="right" vertical="top" wrapText="1"/>
    </xf>
    <xf numFmtId="3" fontId="99" fillId="0" borderId="0" xfId="2" applyNumberFormat="1" applyFont="1"/>
    <xf numFmtId="169" fontId="92" fillId="0" borderId="0" xfId="1" applyNumberFormat="1" applyFont="1" applyFill="1"/>
    <xf numFmtId="0" fontId="92" fillId="0" borderId="0" xfId="0" applyFont="1" applyAlignment="1">
      <alignment horizontal="right"/>
    </xf>
    <xf numFmtId="167" fontId="92" fillId="0" borderId="0" xfId="2" applyNumberFormat="1" applyFont="1"/>
    <xf numFmtId="0" fontId="45" fillId="0" borderId="0" xfId="0" applyFont="1"/>
    <xf numFmtId="3" fontId="45" fillId="0" borderId="0" xfId="0" applyNumberFormat="1" applyFont="1"/>
    <xf numFmtId="2" fontId="45" fillId="0" borderId="0" xfId="0" applyNumberFormat="1" applyFont="1"/>
    <xf numFmtId="0" fontId="45" fillId="0" borderId="0" xfId="0" applyFont="1" applyAlignment="1">
      <alignment horizontal="right"/>
    </xf>
    <xf numFmtId="0" fontId="104" fillId="0" borderId="0" xfId="2" applyFont="1"/>
    <xf numFmtId="0" fontId="105" fillId="0" borderId="0" xfId="2" applyFont="1" applyAlignment="1">
      <alignment horizontal="right"/>
    </xf>
    <xf numFmtId="0" fontId="106" fillId="0" borderId="0" xfId="2" applyFont="1"/>
    <xf numFmtId="0" fontId="107" fillId="0" borderId="0" xfId="2" applyFont="1" applyAlignment="1">
      <alignment horizontal="right"/>
    </xf>
    <xf numFmtId="0" fontId="105" fillId="0" borderId="0" xfId="2" applyFont="1" applyAlignment="1">
      <alignment horizontal="left"/>
    </xf>
    <xf numFmtId="0" fontId="106" fillId="0" borderId="0" xfId="2" applyFont="1" applyAlignment="1">
      <alignment horizontal="left"/>
    </xf>
    <xf numFmtId="1" fontId="106" fillId="0" borderId="0" xfId="2" applyNumberFormat="1" applyFont="1" applyAlignment="1">
      <alignment horizontal="left"/>
    </xf>
    <xf numFmtId="0" fontId="106" fillId="0" borderId="0" xfId="2" applyFont="1" applyAlignment="1">
      <alignment horizontal="right"/>
    </xf>
    <xf numFmtId="0" fontId="104" fillId="0" borderId="0" xfId="2" applyFont="1" applyAlignment="1">
      <alignment horizontal="left"/>
    </xf>
    <xf numFmtId="0" fontId="104" fillId="0" borderId="0" xfId="0" applyFont="1"/>
    <xf numFmtId="3" fontId="45" fillId="0" borderId="0" xfId="2" applyNumberFormat="1" applyFont="1" applyAlignment="1">
      <alignment horizontal="right"/>
    </xf>
    <xf numFmtId="3" fontId="45" fillId="0" borderId="0" xfId="2" applyNumberFormat="1" applyFont="1"/>
    <xf numFmtId="167" fontId="45" fillId="0" borderId="0" xfId="2" applyNumberFormat="1" applyFont="1" applyAlignment="1">
      <alignment horizontal="right"/>
    </xf>
    <xf numFmtId="168" fontId="45" fillId="0" borderId="0" xfId="2" applyNumberFormat="1" applyFont="1" applyAlignment="1">
      <alignment horizontal="right"/>
    </xf>
    <xf numFmtId="0" fontId="45" fillId="0" borderId="0" xfId="2" applyFont="1" applyAlignment="1">
      <alignment wrapText="1"/>
    </xf>
    <xf numFmtId="0" fontId="110" fillId="0" borderId="0" xfId="2" applyFont="1"/>
    <xf numFmtId="167" fontId="110" fillId="0" borderId="0" xfId="2" applyNumberFormat="1" applyFont="1"/>
    <xf numFmtId="167" fontId="45" fillId="0" borderId="0" xfId="2" applyNumberFormat="1" applyFont="1"/>
    <xf numFmtId="0" fontId="11" fillId="0" borderId="0" xfId="2" applyFont="1"/>
    <xf numFmtId="4" fontId="45" fillId="0" borderId="0" xfId="2" applyNumberFormat="1" applyFont="1"/>
    <xf numFmtId="3" fontId="116" fillId="0" borderId="0" xfId="2" applyNumberFormat="1" applyFont="1"/>
    <xf numFmtId="0" fontId="118" fillId="0" borderId="0" xfId="2" applyFont="1" applyAlignment="1">
      <alignment wrapText="1"/>
    </xf>
    <xf numFmtId="166" fontId="45" fillId="0" borderId="0" xfId="1" applyNumberFormat="1" applyFont="1" applyFill="1" applyBorder="1"/>
    <xf numFmtId="1" fontId="110" fillId="0" borderId="0" xfId="2" applyNumberFormat="1" applyFont="1" applyAlignment="1">
      <alignment horizontal="right" wrapText="1"/>
    </xf>
    <xf numFmtId="0" fontId="110" fillId="0" borderId="0" xfId="2" applyFont="1" applyAlignment="1">
      <alignment wrapText="1"/>
    </xf>
    <xf numFmtId="0" fontId="110" fillId="0" borderId="0" xfId="2" applyFont="1" applyAlignment="1">
      <alignment horizontal="right"/>
    </xf>
    <xf numFmtId="0" fontId="110" fillId="0" borderId="0" xfId="2" applyFont="1" applyAlignment="1">
      <alignment horizontal="right" wrapText="1"/>
    </xf>
    <xf numFmtId="3" fontId="110" fillId="0" borderId="0" xfId="2" applyNumberFormat="1" applyFont="1" applyAlignment="1">
      <alignment horizontal="right"/>
    </xf>
    <xf numFmtId="167" fontId="110" fillId="0" borderId="0" xfId="2" applyNumberFormat="1" applyFont="1" applyAlignment="1">
      <alignment horizontal="right"/>
    </xf>
    <xf numFmtId="0" fontId="9" fillId="0" borderId="0" xfId="0" applyFont="1"/>
    <xf numFmtId="3" fontId="9" fillId="0" borderId="0" xfId="0" applyNumberFormat="1" applyFont="1"/>
    <xf numFmtId="3" fontId="45" fillId="0" borderId="0" xfId="0" applyNumberFormat="1" applyFont="1" applyAlignment="1">
      <alignment vertical="center"/>
    </xf>
    <xf numFmtId="0" fontId="121" fillId="0" borderId="0" xfId="0" applyFont="1"/>
    <xf numFmtId="3" fontId="118" fillId="0" borderId="0" xfId="0" applyNumberFormat="1" applyFont="1" applyAlignment="1">
      <alignment horizontal="right"/>
    </xf>
    <xf numFmtId="3" fontId="118" fillId="0" borderId="0" xfId="0" applyNumberFormat="1" applyFont="1"/>
    <xf numFmtId="0" fontId="118" fillId="0" borderId="0" xfId="0" applyFont="1" applyAlignment="1">
      <alignment horizontal="right"/>
    </xf>
    <xf numFmtId="3" fontId="45" fillId="0" borderId="0" xfId="0" applyNumberFormat="1" applyFont="1" applyAlignment="1">
      <alignment horizontal="right"/>
    </xf>
    <xf numFmtId="0" fontId="122" fillId="0" borderId="0" xfId="0" applyFont="1"/>
    <xf numFmtId="0" fontId="123" fillId="0" borderId="0" xfId="0" applyFont="1"/>
    <xf numFmtId="0" fontId="45" fillId="0" borderId="0" xfId="0" applyFont="1" applyAlignment="1">
      <alignment horizontal="left" vertical="center"/>
    </xf>
    <xf numFmtId="3" fontId="45" fillId="0" borderId="0" xfId="0" applyNumberFormat="1" applyFont="1" applyAlignment="1">
      <alignment horizontal="right" vertical="center"/>
    </xf>
    <xf numFmtId="167" fontId="9" fillId="0" borderId="0" xfId="0" applyNumberFormat="1" applyFont="1"/>
    <xf numFmtId="3" fontId="122" fillId="0" borderId="0" xfId="0" applyNumberFormat="1" applyFont="1"/>
    <xf numFmtId="1" fontId="122" fillId="0" borderId="0" xfId="0" applyNumberFormat="1" applyFont="1"/>
    <xf numFmtId="3" fontId="116" fillId="0" borderId="0" xfId="0" applyNumberFormat="1" applyFont="1" applyAlignment="1">
      <alignment horizontal="right" vertical="center"/>
    </xf>
    <xf numFmtId="0" fontId="45" fillId="0" borderId="0" xfId="0" applyFont="1" applyAlignment="1">
      <alignment vertical="center"/>
    </xf>
    <xf numFmtId="166" fontId="45" fillId="0" borderId="0" xfId="1" applyNumberFormat="1" applyFont="1" applyFill="1" applyBorder="1" applyAlignment="1">
      <alignment vertical="center"/>
    </xf>
    <xf numFmtId="166" fontId="45" fillId="0" borderId="0" xfId="0" applyNumberFormat="1" applyFont="1" applyAlignment="1">
      <alignment vertical="center"/>
    </xf>
    <xf numFmtId="1" fontId="9" fillId="0" borderId="0" xfId="0" applyNumberFormat="1" applyFont="1"/>
    <xf numFmtId="0" fontId="45" fillId="0" borderId="0" xfId="0" applyFont="1" applyAlignment="1">
      <alignment horizontal="left" vertical="top" wrapTex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45" fillId="0" borderId="0" xfId="0" applyFont="1" applyAlignment="1">
      <alignment horizontal="right" vertical="center"/>
    </xf>
    <xf numFmtId="0" fontId="123" fillId="0" borderId="0" xfId="0" applyFont="1" applyAlignment="1">
      <alignment horizontal="left"/>
    </xf>
    <xf numFmtId="9" fontId="9" fillId="0" borderId="0" xfId="1" applyFont="1" applyFill="1" applyBorder="1"/>
    <xf numFmtId="0" fontId="9" fillId="0" borderId="0" xfId="0" applyFont="1" applyAlignment="1">
      <alignment horizontal="left"/>
    </xf>
    <xf numFmtId="166" fontId="9" fillId="0" borderId="0" xfId="0" applyNumberFormat="1" applyFont="1"/>
    <xf numFmtId="0" fontId="111" fillId="0" borderId="0" xfId="57" applyFont="1"/>
    <xf numFmtId="0" fontId="9" fillId="0" borderId="0" xfId="2"/>
    <xf numFmtId="0" fontId="125" fillId="0" borderId="0" xfId="2" applyFont="1" applyAlignment="1">
      <alignment horizontal="right"/>
    </xf>
    <xf numFmtId="169" fontId="110" fillId="0" borderId="0" xfId="2" applyNumberFormat="1" applyFont="1" applyAlignment="1">
      <alignment horizontal="right"/>
    </xf>
    <xf numFmtId="169" fontId="45" fillId="0" borderId="0" xfId="2" applyNumberFormat="1" applyFont="1" applyAlignment="1">
      <alignment horizontal="right"/>
    </xf>
    <xf numFmtId="3" fontId="124" fillId="0" borderId="0" xfId="2" applyNumberFormat="1" applyFont="1"/>
    <xf numFmtId="3" fontId="9" fillId="0" borderId="0" xfId="2" applyNumberFormat="1"/>
    <xf numFmtId="0" fontId="104" fillId="0" borderId="0" xfId="57" applyFont="1"/>
    <xf numFmtId="0" fontId="126" fillId="0" borderId="0" xfId="2" applyFont="1"/>
    <xf numFmtId="0" fontId="127" fillId="0" borderId="0" xfId="0" applyFont="1" applyAlignment="1">
      <alignment vertical="center"/>
    </xf>
    <xf numFmtId="0" fontId="105" fillId="0" borderId="0" xfId="0" applyFont="1"/>
    <xf numFmtId="0" fontId="127" fillId="0" borderId="0" xfId="0" applyFont="1" applyAlignment="1">
      <alignment wrapText="1"/>
    </xf>
    <xf numFmtId="0" fontId="127" fillId="0" borderId="0" xfId="0" applyFont="1" applyAlignment="1">
      <alignment vertical="center" wrapText="1"/>
    </xf>
    <xf numFmtId="0" fontId="127" fillId="0" borderId="0" xfId="0" applyFont="1"/>
    <xf numFmtId="0" fontId="10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5" fillId="0" borderId="0" xfId="0" applyFont="1" applyAlignment="1">
      <alignment vertical="center" wrapText="1"/>
    </xf>
    <xf numFmtId="0" fontId="9" fillId="2" borderId="0" xfId="0" applyFont="1" applyFill="1"/>
    <xf numFmtId="3" fontId="45" fillId="2" borderId="0" xfId="0" applyNumberFormat="1" applyFont="1" applyFill="1" applyAlignment="1">
      <alignment horizontal="right" vertical="center"/>
    </xf>
    <xf numFmtId="1" fontId="93" fillId="2" borderId="0" xfId="0" applyNumberFormat="1" applyFont="1" applyFill="1" applyAlignment="1">
      <alignment horizontal="right" vertical="center" wrapText="1"/>
    </xf>
    <xf numFmtId="0" fontId="93" fillId="2" borderId="0" xfId="0" applyFont="1" applyFill="1" applyAlignment="1">
      <alignment horizontal="right" wrapText="1"/>
    </xf>
    <xf numFmtId="0" fontId="119" fillId="0" borderId="0" xfId="0" applyFont="1" applyAlignment="1">
      <alignment horizontal="left" wrapText="1"/>
    </xf>
    <xf numFmtId="0" fontId="24" fillId="0" borderId="0" xfId="1535" applyFont="1"/>
    <xf numFmtId="0" fontId="27" fillId="0" borderId="0" xfId="1535" applyFont="1" applyAlignment="1">
      <alignment horizontal="left" vertical="center"/>
    </xf>
    <xf numFmtId="0" fontId="133" fillId="0" borderId="0" xfId="1538" applyFont="1" applyAlignment="1">
      <alignment horizontal="left" vertical="center" wrapText="1"/>
    </xf>
    <xf numFmtId="0" fontId="27" fillId="0" borderId="0" xfId="1535" applyFont="1" applyAlignment="1">
      <alignment horizontal="center" vertical="center"/>
    </xf>
    <xf numFmtId="49" fontId="90" fillId="0" borderId="0" xfId="1538" applyNumberFormat="1" applyFont="1" applyAlignment="1">
      <alignment vertical="top" wrapText="1"/>
    </xf>
    <xf numFmtId="49" fontId="28" fillId="0" borderId="0" xfId="1535" applyNumberFormat="1" applyFont="1" applyAlignment="1">
      <alignment vertical="center"/>
    </xf>
    <xf numFmtId="0" fontId="29" fillId="0" borderId="0" xfId="1535" applyFont="1"/>
    <xf numFmtId="0" fontId="30" fillId="0" borderId="0" xfId="1535" applyFont="1"/>
    <xf numFmtId="0" fontId="24" fillId="0" borderId="0" xfId="1535" applyFont="1" applyAlignment="1">
      <alignment horizontal="left" vertical="center"/>
    </xf>
    <xf numFmtId="0" fontId="30" fillId="0" borderId="0" xfId="1535" applyFont="1" applyAlignment="1">
      <alignment horizontal="center"/>
    </xf>
    <xf numFmtId="0" fontId="24" fillId="0" borderId="0" xfId="1535" applyFont="1" applyAlignment="1">
      <alignment horizontal="right" vertical="center"/>
    </xf>
    <xf numFmtId="0" fontId="24" fillId="0" borderId="0" xfId="1535" applyFont="1" applyAlignment="1">
      <alignment horizontal="left" vertical="center" indent="1"/>
    </xf>
    <xf numFmtId="0" fontId="31" fillId="0" borderId="0" xfId="1535" applyFont="1"/>
    <xf numFmtId="0" fontId="31" fillId="0" borderId="0" xfId="1535" applyFont="1" applyAlignment="1">
      <alignment horizontal="right" vertical="center"/>
    </xf>
    <xf numFmtId="0" fontId="31" fillId="0" borderId="0" xfId="1535" applyFont="1" applyAlignment="1">
      <alignment horizontal="left" vertical="center" indent="1"/>
    </xf>
    <xf numFmtId="49" fontId="27" fillId="0" borderId="0" xfId="1535" applyNumberFormat="1" applyFont="1" applyAlignment="1">
      <alignment vertical="center"/>
    </xf>
    <xf numFmtId="0" fontId="45" fillId="2" borderId="0" xfId="0" applyFont="1" applyFill="1"/>
    <xf numFmtId="0" fontId="45" fillId="2" borderId="0" xfId="0" applyFont="1" applyFill="1" applyAlignment="1">
      <alignment horizontal="center" vertical="center" wrapText="1"/>
    </xf>
    <xf numFmtId="0" fontId="45" fillId="2" borderId="0" xfId="0" applyFont="1" applyFill="1" applyAlignment="1">
      <alignment horizontal="right" vertical="center" wrapText="1"/>
    </xf>
    <xf numFmtId="0" fontId="45" fillId="2" borderId="25" xfId="0" applyFont="1" applyFill="1" applyBorder="1"/>
    <xf numFmtId="0" fontId="45" fillId="2" borderId="0" xfId="0" applyFont="1" applyFill="1" applyAlignment="1">
      <alignment horizontal="left" vertical="center"/>
    </xf>
    <xf numFmtId="3" fontId="45" fillId="2" borderId="30" xfId="0" applyNumberFormat="1" applyFont="1" applyFill="1" applyBorder="1" applyAlignment="1">
      <alignment vertical="center"/>
    </xf>
    <xf numFmtId="3" fontId="45" fillId="2" borderId="0" xfId="0" applyNumberFormat="1" applyFont="1" applyFill="1" applyAlignment="1">
      <alignment vertical="center"/>
    </xf>
    <xf numFmtId="3" fontId="109" fillId="2" borderId="33" xfId="0" applyNumberFormat="1" applyFont="1" applyFill="1" applyBorder="1" applyAlignment="1">
      <alignment vertical="center"/>
    </xf>
    <xf numFmtId="3" fontId="109" fillId="2" borderId="0" xfId="0" applyNumberFormat="1" applyFont="1" applyFill="1" applyAlignment="1">
      <alignment vertical="center"/>
    </xf>
    <xf numFmtId="0" fontId="45" fillId="2" borderId="25" xfId="0" applyFont="1" applyFill="1" applyBorder="1" applyAlignment="1">
      <alignment horizontal="left" vertical="center"/>
    </xf>
    <xf numFmtId="3" fontId="45" fillId="2" borderId="29" xfId="0" applyNumberFormat="1" applyFont="1" applyFill="1" applyBorder="1" applyAlignment="1">
      <alignment vertical="center"/>
    </xf>
    <xf numFmtId="3" fontId="45" fillId="2" borderId="25" xfId="0" applyNumberFormat="1" applyFont="1" applyFill="1" applyBorder="1" applyAlignment="1">
      <alignment vertical="center"/>
    </xf>
    <xf numFmtId="3" fontId="109" fillId="2" borderId="32" xfId="0" applyNumberFormat="1" applyFont="1" applyFill="1" applyBorder="1" applyAlignment="1">
      <alignment vertical="center"/>
    </xf>
    <xf numFmtId="3" fontId="109" fillId="2" borderId="25" xfId="0" applyNumberFormat="1" applyFont="1" applyFill="1" applyBorder="1" applyAlignment="1">
      <alignment vertical="center"/>
    </xf>
    <xf numFmtId="0" fontId="45" fillId="2" borderId="26" xfId="0" applyFont="1" applyFill="1" applyBorder="1" applyAlignment="1">
      <alignment horizontal="left" vertical="center"/>
    </xf>
    <xf numFmtId="3" fontId="45" fillId="2" borderId="28" xfId="0" applyNumberFormat="1" applyFont="1" applyFill="1" applyBorder="1" applyAlignment="1">
      <alignment vertical="center"/>
    </xf>
    <xf numFmtId="3" fontId="45" fillId="2" borderId="26" xfId="0" applyNumberFormat="1" applyFont="1" applyFill="1" applyBorder="1" applyAlignment="1">
      <alignment vertical="center"/>
    </xf>
    <xf numFmtId="3" fontId="109" fillId="2" borderId="31" xfId="0" applyNumberFormat="1" applyFont="1" applyFill="1" applyBorder="1" applyAlignment="1">
      <alignment vertical="center"/>
    </xf>
    <xf numFmtId="3" fontId="109" fillId="2" borderId="26" xfId="0" applyNumberFormat="1" applyFont="1" applyFill="1" applyBorder="1" applyAlignment="1">
      <alignment vertical="center"/>
    </xf>
    <xf numFmtId="3" fontId="45" fillId="2" borderId="27" xfId="0" applyNumberFormat="1" applyFont="1" applyFill="1" applyBorder="1" applyAlignment="1">
      <alignment vertical="center"/>
    </xf>
    <xf numFmtId="3" fontId="45" fillId="2" borderId="6" xfId="0" applyNumberFormat="1" applyFont="1" applyFill="1" applyBorder="1" applyAlignment="1">
      <alignment vertical="center"/>
    </xf>
    <xf numFmtId="3" fontId="109" fillId="2" borderId="34" xfId="0" applyNumberFormat="1" applyFont="1" applyFill="1" applyBorder="1" applyAlignment="1">
      <alignment vertical="center"/>
    </xf>
    <xf numFmtId="3" fontId="109" fillId="2" borderId="6" xfId="0" applyNumberFormat="1" applyFont="1" applyFill="1" applyBorder="1" applyAlignment="1">
      <alignment vertical="center"/>
    </xf>
    <xf numFmtId="0" fontId="45" fillId="2" borderId="0" xfId="0" applyFont="1" applyFill="1" applyAlignment="1">
      <alignment horizontal="right" vertical="center"/>
    </xf>
    <xf numFmtId="0" fontId="45" fillId="2" borderId="25" xfId="0" applyFont="1" applyFill="1" applyBorder="1" applyAlignment="1">
      <alignment horizontal="left" vertical="top"/>
    </xf>
    <xf numFmtId="0" fontId="109" fillId="0" borderId="0" xfId="2" applyFont="1" applyAlignment="1">
      <alignment horizontal="right" vertical="top" wrapText="1"/>
    </xf>
    <xf numFmtId="0" fontId="45" fillId="2" borderId="0" xfId="2" applyFont="1" applyFill="1" applyAlignment="1">
      <alignment horizontal="left" vertical="center"/>
    </xf>
    <xf numFmtId="167" fontId="45" fillId="2" borderId="0" xfId="2" applyNumberFormat="1" applyFont="1" applyFill="1" applyAlignment="1">
      <alignment horizontal="right" vertical="center"/>
    </xf>
    <xf numFmtId="167" fontId="45" fillId="2" borderId="0" xfId="2" applyNumberFormat="1" applyFont="1" applyFill="1" applyAlignment="1">
      <alignment vertical="center"/>
    </xf>
    <xf numFmtId="0" fontId="45" fillId="2" borderId="25" xfId="2" applyFont="1" applyFill="1" applyBorder="1" applyAlignment="1">
      <alignment horizontal="left" vertical="center"/>
    </xf>
    <xf numFmtId="167" fontId="45" fillId="2" borderId="25" xfId="2" applyNumberFormat="1" applyFont="1" applyFill="1" applyBorder="1" applyAlignment="1">
      <alignment horizontal="right" vertical="center"/>
    </xf>
    <xf numFmtId="167" fontId="45" fillId="2" borderId="25" xfId="2" applyNumberFormat="1" applyFont="1" applyFill="1" applyBorder="1" applyAlignment="1">
      <alignment vertical="center"/>
    </xf>
    <xf numFmtId="0" fontId="45" fillId="2" borderId="2" xfId="2" applyFont="1" applyFill="1" applyBorder="1" applyAlignment="1">
      <alignment horizontal="left" vertical="center"/>
    </xf>
    <xf numFmtId="167" fontId="45" fillId="2" borderId="30" xfId="2" applyNumberFormat="1" applyFont="1" applyFill="1" applyBorder="1" applyAlignment="1">
      <alignment horizontal="right" vertical="center"/>
    </xf>
    <xf numFmtId="167" fontId="45" fillId="2" borderId="29" xfId="2" applyNumberFormat="1" applyFont="1" applyFill="1" applyBorder="1" applyAlignment="1">
      <alignment horizontal="right" vertical="center"/>
    </xf>
    <xf numFmtId="167" fontId="45" fillId="2" borderId="33" xfId="2" applyNumberFormat="1" applyFont="1" applyFill="1" applyBorder="1" applyAlignment="1">
      <alignment vertical="center"/>
    </xf>
    <xf numFmtId="167" fontId="45" fillId="2" borderId="32" xfId="2" applyNumberFormat="1" applyFont="1" applyFill="1" applyBorder="1" applyAlignment="1">
      <alignment vertical="center"/>
    </xf>
    <xf numFmtId="167" fontId="45" fillId="2" borderId="33" xfId="2" applyNumberFormat="1" applyFont="1" applyFill="1" applyBorder="1" applyAlignment="1">
      <alignment horizontal="right" vertical="center"/>
    </xf>
    <xf numFmtId="167" fontId="45" fillId="2" borderId="32" xfId="2" applyNumberFormat="1" applyFont="1" applyFill="1" applyBorder="1" applyAlignment="1">
      <alignment horizontal="right" vertical="center"/>
    </xf>
    <xf numFmtId="167" fontId="45" fillId="2" borderId="30" xfId="2" applyNumberFormat="1" applyFont="1" applyFill="1" applyBorder="1" applyAlignment="1">
      <alignment vertical="center"/>
    </xf>
    <xf numFmtId="167" fontId="45" fillId="2" borderId="29" xfId="2" applyNumberFormat="1" applyFont="1" applyFill="1" applyBorder="1" applyAlignment="1">
      <alignment vertical="center"/>
    </xf>
    <xf numFmtId="0" fontId="109" fillId="2" borderId="33" xfId="2" applyFont="1" applyFill="1" applyBorder="1" applyAlignment="1">
      <alignment horizontal="center" vertical="center" wrapText="1"/>
    </xf>
    <xf numFmtId="0" fontId="109" fillId="0" borderId="32" xfId="2" applyFont="1" applyBorder="1"/>
    <xf numFmtId="0" fontId="109" fillId="2" borderId="29" xfId="2" applyFont="1" applyFill="1" applyBorder="1" applyAlignment="1">
      <alignment horizontal="right" wrapText="1"/>
    </xf>
    <xf numFmtId="0" fontId="109" fillId="2" borderId="25" xfId="2" applyFont="1" applyFill="1" applyBorder="1" applyAlignment="1">
      <alignment horizontal="right" wrapText="1"/>
    </xf>
    <xf numFmtId="0" fontId="109" fillId="2" borderId="32" xfId="2" applyFont="1" applyFill="1" applyBorder="1" applyAlignment="1">
      <alignment horizontal="right" wrapText="1"/>
    </xf>
    <xf numFmtId="0" fontId="109" fillId="2" borderId="25" xfId="2" applyFont="1" applyFill="1" applyBorder="1" applyAlignment="1">
      <alignment horizontal="left" vertical="top" wrapText="1"/>
    </xf>
    <xf numFmtId="0" fontId="109" fillId="2" borderId="32" xfId="2" applyFont="1" applyFill="1" applyBorder="1" applyAlignment="1">
      <alignment horizontal="left" vertical="top" wrapText="1"/>
    </xf>
    <xf numFmtId="0" fontId="109" fillId="2" borderId="0" xfId="0" applyFont="1" applyFill="1"/>
    <xf numFmtId="0" fontId="109" fillId="2" borderId="25" xfId="0" applyFont="1" applyFill="1" applyBorder="1"/>
    <xf numFmtId="0" fontId="109" fillId="2" borderId="29" xfId="0" applyFont="1" applyFill="1" applyBorder="1" applyAlignment="1">
      <alignment horizontal="right"/>
    </xf>
    <xf numFmtId="0" fontId="109" fillId="2" borderId="25" xfId="0" applyFont="1" applyFill="1" applyBorder="1" applyAlignment="1">
      <alignment horizontal="right"/>
    </xf>
    <xf numFmtId="1" fontId="109" fillId="2" borderId="32" xfId="0" applyNumberFormat="1" applyFont="1" applyFill="1" applyBorder="1" applyAlignment="1">
      <alignment horizontal="right"/>
    </xf>
    <xf numFmtId="1" fontId="109" fillId="2" borderId="25" xfId="0" applyNumberFormat="1" applyFont="1" applyFill="1" applyBorder="1" applyAlignment="1">
      <alignment horizontal="right"/>
    </xf>
    <xf numFmtId="0" fontId="109" fillId="2" borderId="31" xfId="2" applyFont="1" applyFill="1" applyBorder="1" applyAlignment="1">
      <alignment horizontal="left" vertical="center"/>
    </xf>
    <xf numFmtId="1" fontId="112" fillId="0" borderId="0" xfId="2" applyNumberFormat="1" applyFont="1" applyAlignment="1">
      <alignment horizontal="left" vertical="top" wrapText="1"/>
    </xf>
    <xf numFmtId="0" fontId="109" fillId="0" borderId="0" xfId="2" applyFont="1" applyAlignment="1">
      <alignment vertical="top" wrapText="1"/>
    </xf>
    <xf numFmtId="0" fontId="113" fillId="0" borderId="0" xfId="2" applyFont="1" applyAlignment="1">
      <alignment horizontal="left" vertical="top" wrapText="1"/>
    </xf>
    <xf numFmtId="167" fontId="45" fillId="2" borderId="0" xfId="2" applyNumberFormat="1" applyFont="1" applyFill="1" applyAlignment="1">
      <alignment horizontal="right"/>
    </xf>
    <xf numFmtId="0" fontId="45" fillId="2" borderId="0" xfId="2" applyFont="1" applyFill="1" applyAlignment="1">
      <alignment horizontal="center" vertical="center" wrapText="1"/>
    </xf>
    <xf numFmtId="166" fontId="45" fillId="2" borderId="0" xfId="1" applyNumberFormat="1" applyFont="1" applyFill="1" applyBorder="1" applyAlignment="1">
      <alignment vertical="center"/>
    </xf>
    <xf numFmtId="167" fontId="45" fillId="2" borderId="0" xfId="20" applyNumberFormat="1" applyFont="1" applyFill="1" applyAlignment="1">
      <alignment horizontal="right" vertical="center"/>
    </xf>
    <xf numFmtId="0" fontId="45" fillId="2" borderId="25" xfId="2" applyFont="1" applyFill="1" applyBorder="1" applyAlignment="1">
      <alignment horizontal="left"/>
    </xf>
    <xf numFmtId="166" fontId="45" fillId="2" borderId="25" xfId="1" applyNumberFormat="1" applyFont="1" applyFill="1" applyBorder="1" applyAlignment="1">
      <alignment vertical="center"/>
    </xf>
    <xf numFmtId="167" fontId="45" fillId="2" borderId="25" xfId="2" applyNumberFormat="1" applyFont="1" applyFill="1" applyBorder="1" applyAlignment="1">
      <alignment horizontal="right"/>
    </xf>
    <xf numFmtId="0" fontId="45" fillId="2" borderId="6" xfId="2" applyFont="1" applyFill="1" applyBorder="1" applyAlignment="1">
      <alignment horizontal="left" vertical="center"/>
    </xf>
    <xf numFmtId="0" fontId="109" fillId="2" borderId="0" xfId="2" applyFont="1" applyFill="1" applyAlignment="1">
      <alignment horizontal="center" vertical="center" wrapText="1"/>
    </xf>
    <xf numFmtId="0" fontId="109" fillId="2" borderId="25" xfId="2" applyFont="1" applyFill="1" applyBorder="1" applyAlignment="1">
      <alignment horizontal="left"/>
    </xf>
    <xf numFmtId="0" fontId="109" fillId="2" borderId="25" xfId="0" applyFont="1" applyFill="1" applyBorder="1" applyAlignment="1">
      <alignment horizontal="right" wrapText="1"/>
    </xf>
    <xf numFmtId="167" fontId="45" fillId="2" borderId="30" xfId="20" applyNumberFormat="1" applyFont="1" applyFill="1" applyBorder="1" applyAlignment="1">
      <alignment horizontal="right" vertical="center"/>
    </xf>
    <xf numFmtId="0" fontId="109" fillId="2" borderId="29" xfId="0" applyFont="1" applyFill="1" applyBorder="1" applyAlignment="1">
      <alignment horizontal="right" wrapText="1"/>
    </xf>
    <xf numFmtId="0" fontId="109" fillId="2" borderId="32" xfId="0" applyFont="1" applyFill="1" applyBorder="1" applyAlignment="1">
      <alignment horizontal="right" wrapText="1"/>
    </xf>
    <xf numFmtId="167" fontId="45" fillId="2" borderId="33" xfId="20" applyNumberFormat="1" applyFont="1" applyFill="1" applyBorder="1" applyAlignment="1">
      <alignment horizontal="right" vertical="center"/>
    </xf>
    <xf numFmtId="0" fontId="45" fillId="0" borderId="32" xfId="2" applyFont="1" applyBorder="1"/>
    <xf numFmtId="0" fontId="109" fillId="2" borderId="29" xfId="0" applyFont="1" applyFill="1" applyBorder="1" applyAlignment="1">
      <alignment horizontal="right" textRotation="90" wrapText="1"/>
    </xf>
    <xf numFmtId="0" fontId="109" fillId="2" borderId="25" xfId="0" applyFont="1" applyFill="1" applyBorder="1" applyAlignment="1">
      <alignment horizontal="right" textRotation="90" wrapText="1"/>
    </xf>
    <xf numFmtId="0" fontId="109" fillId="2" borderId="32" xfId="0" applyFont="1" applyFill="1" applyBorder="1" applyAlignment="1">
      <alignment horizontal="right" textRotation="90" wrapText="1"/>
    </xf>
    <xf numFmtId="0" fontId="109" fillId="2" borderId="6" xfId="2" applyFont="1" applyFill="1" applyBorder="1" applyAlignment="1">
      <alignment horizontal="left" vertical="center"/>
    </xf>
    <xf numFmtId="0" fontId="136" fillId="0" borderId="25" xfId="0" applyFont="1" applyBorder="1"/>
    <xf numFmtId="1" fontId="109" fillId="2" borderId="29" xfId="2" applyNumberFormat="1" applyFont="1" applyFill="1" applyBorder="1" applyAlignment="1">
      <alignment horizontal="right" wrapText="1"/>
    </xf>
    <xf numFmtId="1" fontId="109" fillId="2" borderId="25" xfId="2" applyNumberFormat="1" applyFont="1" applyFill="1" applyBorder="1" applyAlignment="1">
      <alignment horizontal="right" wrapText="1"/>
    </xf>
    <xf numFmtId="1" fontId="109" fillId="2" borderId="32" xfId="2" applyNumberFormat="1" applyFont="1" applyFill="1" applyBorder="1" applyAlignment="1">
      <alignment horizontal="right" wrapText="1"/>
    </xf>
    <xf numFmtId="0" fontId="109" fillId="2" borderId="25" xfId="2" applyFont="1" applyFill="1" applyBorder="1" applyAlignment="1">
      <alignment horizontal="right" textRotation="90" wrapText="1"/>
    </xf>
    <xf numFmtId="3" fontId="45" fillId="2" borderId="0" xfId="2" applyNumberFormat="1" applyFont="1" applyFill="1" applyAlignment="1">
      <alignment horizontal="right" vertical="center"/>
    </xf>
    <xf numFmtId="3" fontId="45" fillId="2" borderId="0" xfId="2" applyNumberFormat="1" applyFont="1" applyFill="1" applyAlignment="1">
      <alignment vertical="center"/>
    </xf>
    <xf numFmtId="0" fontId="109" fillId="0" borderId="25" xfId="2" applyFont="1" applyBorder="1" applyAlignment="1">
      <alignment horizontal="right" vertical="top" wrapText="1"/>
    </xf>
    <xf numFmtId="3" fontId="45" fillId="2" borderId="25" xfId="2" applyNumberFormat="1" applyFont="1" applyFill="1" applyBorder="1" applyAlignment="1">
      <alignment horizontal="right" vertical="center"/>
    </xf>
    <xf numFmtId="3" fontId="45" fillId="2" borderId="25" xfId="2" applyNumberFormat="1" applyFont="1" applyFill="1" applyBorder="1" applyAlignment="1">
      <alignment vertical="center"/>
    </xf>
    <xf numFmtId="3" fontId="45" fillId="2" borderId="30" xfId="2" applyNumberFormat="1" applyFont="1" applyFill="1" applyBorder="1" applyAlignment="1">
      <alignment horizontal="right" vertical="center"/>
    </xf>
    <xf numFmtId="3" fontId="45" fillId="2" borderId="29" xfId="2" applyNumberFormat="1" applyFont="1" applyFill="1" applyBorder="1" applyAlignment="1">
      <alignment horizontal="right" vertical="center"/>
    </xf>
    <xf numFmtId="3" fontId="45" fillId="2" borderId="33" xfId="2" applyNumberFormat="1" applyFont="1" applyFill="1" applyBorder="1" applyAlignment="1">
      <alignment vertical="center"/>
    </xf>
    <xf numFmtId="3" fontId="45" fillId="2" borderId="32" xfId="2" applyNumberFormat="1" applyFont="1" applyFill="1" applyBorder="1" applyAlignment="1">
      <alignment vertical="center"/>
    </xf>
    <xf numFmtId="3" fontId="45" fillId="2" borderId="33" xfId="2" applyNumberFormat="1" applyFont="1" applyFill="1" applyBorder="1" applyAlignment="1">
      <alignment horizontal="right" vertical="center"/>
    </xf>
    <xf numFmtId="0" fontId="109" fillId="2" borderId="30" xfId="2" applyFont="1" applyFill="1" applyBorder="1"/>
    <xf numFmtId="0" fontId="109" fillId="2" borderId="0" xfId="2" applyFont="1" applyFill="1"/>
    <xf numFmtId="0" fontId="109" fillId="2" borderId="33" xfId="2" applyFont="1" applyFill="1" applyBorder="1"/>
    <xf numFmtId="0" fontId="109" fillId="2" borderId="0" xfId="2" applyFont="1" applyFill="1" applyAlignment="1">
      <alignment horizontal="left" vertical="center" wrapText="1"/>
    </xf>
    <xf numFmtId="0" fontId="109" fillId="2" borderId="0" xfId="2" applyFont="1" applyFill="1" applyAlignment="1">
      <alignment vertical="center" wrapText="1"/>
    </xf>
    <xf numFmtId="0" fontId="109" fillId="2" borderId="30" xfId="2" applyFont="1" applyFill="1" applyBorder="1" applyAlignment="1">
      <alignment vertical="center" wrapText="1"/>
    </xf>
    <xf numFmtId="167" fontId="45" fillId="0" borderId="0" xfId="0" applyNumberFormat="1" applyFont="1" applyAlignment="1">
      <alignment horizontal="center"/>
    </xf>
    <xf numFmtId="0" fontId="109" fillId="2" borderId="0" xfId="0" applyFont="1" applyFill="1" applyAlignment="1">
      <alignment vertical="center"/>
    </xf>
    <xf numFmtId="1" fontId="112" fillId="0" borderId="25" xfId="0" applyNumberFormat="1" applyFont="1" applyBorder="1" applyAlignment="1">
      <alignment vertical="top"/>
    </xf>
    <xf numFmtId="0" fontId="93" fillId="0" borderId="25" xfId="0" applyFont="1" applyBorder="1" applyAlignment="1">
      <alignment vertical="top" wrapText="1"/>
    </xf>
    <xf numFmtId="167" fontId="45" fillId="2" borderId="0" xfId="0" applyNumberFormat="1" applyFont="1" applyFill="1"/>
    <xf numFmtId="167" fontId="45" fillId="2" borderId="0" xfId="0" applyNumberFormat="1" applyFont="1" applyFill="1" applyAlignment="1">
      <alignment vertical="center"/>
    </xf>
    <xf numFmtId="3" fontId="45" fillId="2" borderId="0" xfId="0" applyNumberFormat="1" applyFont="1" applyFill="1" applyAlignment="1">
      <alignment vertical="top" wrapText="1"/>
    </xf>
    <xf numFmtId="167" fontId="45" fillId="2" borderId="0" xfId="0" applyNumberFormat="1" applyFont="1" applyFill="1" applyAlignment="1">
      <alignment vertical="top" wrapText="1"/>
    </xf>
    <xf numFmtId="3" fontId="45" fillId="2" borderId="0" xfId="0" applyNumberFormat="1" applyFont="1" applyFill="1"/>
    <xf numFmtId="3" fontId="45" fillId="2" borderId="0" xfId="0" applyNumberFormat="1" applyFont="1" applyFill="1" applyAlignment="1">
      <alignment vertical="top"/>
    </xf>
    <xf numFmtId="0" fontId="109" fillId="2" borderId="25" xfId="0" applyFont="1" applyFill="1" applyBorder="1" applyAlignment="1">
      <alignment horizontal="left" wrapText="1"/>
    </xf>
    <xf numFmtId="167" fontId="45" fillId="2" borderId="25" xfId="0" applyNumberFormat="1" applyFont="1" applyFill="1" applyBorder="1" applyAlignment="1">
      <alignment vertical="center"/>
    </xf>
    <xf numFmtId="0" fontId="45" fillId="2" borderId="6" xfId="0" applyFont="1" applyFill="1" applyBorder="1" applyAlignment="1">
      <alignment horizontal="left" vertical="center"/>
    </xf>
    <xf numFmtId="167" fontId="45" fillId="2" borderId="6" xfId="0" applyNumberFormat="1" applyFont="1" applyFill="1" applyBorder="1" applyAlignment="1">
      <alignment vertical="center"/>
    </xf>
    <xf numFmtId="3" fontId="45" fillId="2" borderId="30" xfId="0" applyNumberFormat="1" applyFont="1" applyFill="1" applyBorder="1"/>
    <xf numFmtId="3" fontId="45" fillId="2" borderId="30" xfId="0" applyNumberFormat="1" applyFont="1" applyFill="1" applyBorder="1" applyAlignment="1">
      <alignment vertical="top"/>
    </xf>
    <xf numFmtId="167" fontId="45" fillId="2" borderId="33" xfId="0" applyNumberFormat="1" applyFont="1" applyFill="1" applyBorder="1"/>
    <xf numFmtId="167" fontId="45" fillId="2" borderId="33" xfId="0" applyNumberFormat="1" applyFont="1" applyFill="1" applyBorder="1" applyAlignment="1">
      <alignment vertical="center"/>
    </xf>
    <xf numFmtId="167" fontId="45" fillId="2" borderId="33" xfId="0" applyNumberFormat="1" applyFont="1" applyFill="1" applyBorder="1" applyAlignment="1">
      <alignment vertical="top" wrapText="1"/>
    </xf>
    <xf numFmtId="167" fontId="45" fillId="2" borderId="32" xfId="0" applyNumberFormat="1" applyFont="1" applyFill="1" applyBorder="1" applyAlignment="1">
      <alignment vertical="center"/>
    </xf>
    <xf numFmtId="167" fontId="45" fillId="2" borderId="34" xfId="0" applyNumberFormat="1" applyFont="1" applyFill="1" applyBorder="1" applyAlignment="1">
      <alignment vertical="center"/>
    </xf>
    <xf numFmtId="0" fontId="109" fillId="2" borderId="0" xfId="0" applyFont="1" applyFill="1" applyAlignment="1">
      <alignment horizontal="right" wrapText="1"/>
    </xf>
    <xf numFmtId="0" fontId="120" fillId="2" borderId="32" xfId="0" applyFont="1" applyFill="1" applyBorder="1" applyAlignment="1">
      <alignment vertical="center"/>
    </xf>
    <xf numFmtId="0" fontId="45" fillId="0" borderId="0" xfId="0" applyFont="1" applyAlignment="1">
      <alignment horizontal="left"/>
    </xf>
    <xf numFmtId="0" fontId="45" fillId="0" borderId="25" xfId="0" applyFont="1" applyBorder="1" applyAlignment="1">
      <alignment horizontal="left" wrapText="1"/>
    </xf>
    <xf numFmtId="0" fontId="9" fillId="0" borderId="25" xfId="0" applyFont="1" applyBorder="1"/>
    <xf numFmtId="3" fontId="45" fillId="0" borderId="25" xfId="0" applyNumberFormat="1" applyFont="1" applyBorder="1" applyAlignment="1">
      <alignment horizontal="right"/>
    </xf>
    <xf numFmtId="167" fontId="45" fillId="0" borderId="25" xfId="0" applyNumberFormat="1" applyFont="1" applyBorder="1" applyAlignment="1">
      <alignment horizontal="center"/>
    </xf>
    <xf numFmtId="3" fontId="45" fillId="0" borderId="28" xfId="0" applyNumberFormat="1" applyFont="1" applyBorder="1"/>
    <xf numFmtId="3" fontId="45" fillId="0" borderId="26" xfId="0" applyNumberFormat="1" applyFont="1" applyBorder="1"/>
    <xf numFmtId="3" fontId="45" fillId="0" borderId="26" xfId="0" applyNumberFormat="1" applyFont="1" applyBorder="1" applyAlignment="1">
      <alignment horizontal="center"/>
    </xf>
    <xf numFmtId="3" fontId="45" fillId="0" borderId="30" xfId="0" applyNumberFormat="1" applyFont="1" applyBorder="1" applyAlignment="1">
      <alignment horizontal="right"/>
    </xf>
    <xf numFmtId="3" fontId="45" fillId="0" borderId="29" xfId="0" applyNumberFormat="1" applyFont="1" applyBorder="1" applyAlignment="1">
      <alignment horizontal="right"/>
    </xf>
    <xf numFmtId="3" fontId="45" fillId="0" borderId="31" xfId="0" applyNumberFormat="1" applyFont="1" applyBorder="1" applyAlignment="1">
      <alignment horizontal="center"/>
    </xf>
    <xf numFmtId="167" fontId="45" fillId="0" borderId="33" xfId="0" applyNumberFormat="1" applyFont="1" applyBorder="1" applyAlignment="1">
      <alignment horizontal="center"/>
    </xf>
    <xf numFmtId="167" fontId="45" fillId="0" borderId="32" xfId="0" applyNumberFormat="1" applyFont="1" applyBorder="1" applyAlignment="1">
      <alignment horizontal="center"/>
    </xf>
    <xf numFmtId="0" fontId="121" fillId="0" borderId="30" xfId="0" applyFont="1" applyBorder="1"/>
    <xf numFmtId="3" fontId="118" fillId="0" borderId="30" xfId="0" applyNumberFormat="1" applyFont="1" applyBorder="1" applyAlignment="1">
      <alignment horizontal="right"/>
    </xf>
    <xf numFmtId="0" fontId="118" fillId="0" borderId="30" xfId="0" applyFont="1" applyBorder="1" applyAlignment="1">
      <alignment horizontal="right"/>
    </xf>
    <xf numFmtId="0" fontId="121" fillId="0" borderId="33" xfId="0" applyFont="1" applyBorder="1"/>
    <xf numFmtId="0" fontId="9" fillId="0" borderId="32" xfId="0" applyFont="1" applyBorder="1"/>
    <xf numFmtId="0" fontId="127" fillId="0" borderId="30" xfId="0" applyFont="1" applyBorder="1" applyAlignment="1">
      <alignment horizontal="left" vertical="top"/>
    </xf>
    <xf numFmtId="0" fontId="109" fillId="2" borderId="0" xfId="0" applyFont="1" applyFill="1" applyAlignment="1">
      <alignment horizontal="left" vertical="center"/>
    </xf>
    <xf numFmtId="1" fontId="93" fillId="0" borderId="0" xfId="0" applyNumberFormat="1" applyFont="1" applyAlignment="1">
      <alignment vertical="center" wrapText="1"/>
    </xf>
    <xf numFmtId="1" fontId="93" fillId="0" borderId="0" xfId="0" applyNumberFormat="1" applyFont="1" applyAlignment="1">
      <alignment horizontal="left" vertical="center" wrapText="1"/>
    </xf>
    <xf numFmtId="0" fontId="93" fillId="0" borderId="0" xfId="0" applyFont="1" applyAlignment="1">
      <alignment vertical="center" wrapText="1"/>
    </xf>
    <xf numFmtId="1" fontId="9" fillId="0" borderId="0" xfId="0" applyNumberFormat="1" applyFont="1" applyAlignment="1">
      <alignment vertical="center" wrapText="1"/>
    </xf>
    <xf numFmtId="1" fontId="109" fillId="2" borderId="0" xfId="0" applyNumberFormat="1" applyFont="1" applyFill="1" applyAlignment="1">
      <alignment horizontal="right" vertical="center" wrapText="1"/>
    </xf>
    <xf numFmtId="0" fontId="109" fillId="2" borderId="0" xfId="0" applyFont="1" applyFill="1" applyAlignment="1">
      <alignment horizontal="left" wrapText="1"/>
    </xf>
    <xf numFmtId="0" fontId="45" fillId="2" borderId="0" xfId="0" applyFont="1" applyFill="1" applyAlignment="1">
      <alignment wrapText="1"/>
    </xf>
    <xf numFmtId="166" fontId="45" fillId="2" borderId="0" xfId="1" applyNumberFormat="1" applyFont="1" applyFill="1" applyBorder="1" applyAlignment="1">
      <alignment horizontal="right" vertical="center"/>
    </xf>
    <xf numFmtId="3" fontId="45" fillId="2" borderId="26" xfId="0" applyNumberFormat="1" applyFont="1" applyFill="1" applyBorder="1" applyAlignment="1">
      <alignment horizontal="right" vertical="center"/>
    </xf>
    <xf numFmtId="166" fontId="45" fillId="2" borderId="26" xfId="1" applyNumberFormat="1" applyFont="1" applyFill="1" applyBorder="1" applyAlignment="1">
      <alignment horizontal="right" vertical="center"/>
    </xf>
    <xf numFmtId="3" fontId="45" fillId="2" borderId="25" xfId="0" applyNumberFormat="1" applyFont="1" applyFill="1" applyBorder="1" applyAlignment="1">
      <alignment horizontal="right" vertical="center"/>
    </xf>
    <xf numFmtId="166" fontId="45" fillId="2" borderId="25" xfId="1" applyNumberFormat="1" applyFont="1" applyFill="1" applyBorder="1" applyAlignment="1">
      <alignment horizontal="right" vertical="center"/>
    </xf>
    <xf numFmtId="3" fontId="45" fillId="2" borderId="28" xfId="0" applyNumberFormat="1" applyFont="1" applyFill="1" applyBorder="1" applyAlignment="1">
      <alignment horizontal="right" vertical="center"/>
    </xf>
    <xf numFmtId="3" fontId="45" fillId="2" borderId="30" xfId="0" applyNumberFormat="1" applyFont="1" applyFill="1" applyBorder="1" applyAlignment="1">
      <alignment horizontal="right" vertical="center"/>
    </xf>
    <xf numFmtId="3" fontId="45" fillId="2" borderId="29" xfId="0" applyNumberFormat="1" applyFont="1" applyFill="1" applyBorder="1" applyAlignment="1">
      <alignment horizontal="right" vertical="center"/>
    </xf>
    <xf numFmtId="1" fontId="93" fillId="0" borderId="25" xfId="0" applyNumberFormat="1" applyFont="1" applyBorder="1" applyAlignment="1">
      <alignment vertical="center" wrapText="1"/>
    </xf>
    <xf numFmtId="1" fontId="93" fillId="0" borderId="25" xfId="0" applyNumberFormat="1" applyFont="1" applyBorder="1" applyAlignment="1">
      <alignment horizontal="left" vertical="center" wrapText="1"/>
    </xf>
    <xf numFmtId="0" fontId="93" fillId="0" borderId="25" xfId="0" applyFont="1" applyBorder="1" applyAlignment="1">
      <alignment vertical="center" wrapText="1"/>
    </xf>
    <xf numFmtId="0" fontId="109" fillId="2" borderId="25" xfId="0" applyFont="1" applyFill="1" applyBorder="1" applyAlignment="1">
      <alignment horizontal="left" vertical="center"/>
    </xf>
    <xf numFmtId="3" fontId="109" fillId="2" borderId="25" xfId="0" applyNumberFormat="1" applyFont="1" applyFill="1" applyBorder="1" applyAlignment="1">
      <alignment horizontal="right" vertical="center"/>
    </xf>
    <xf numFmtId="166" fontId="109" fillId="2" borderId="25" xfId="1" applyNumberFormat="1" applyFont="1" applyFill="1" applyBorder="1" applyAlignment="1">
      <alignment horizontal="right" vertical="center"/>
    </xf>
    <xf numFmtId="3" fontId="109" fillId="2" borderId="29" xfId="0" applyNumberFormat="1" applyFont="1" applyFill="1" applyBorder="1" applyAlignment="1">
      <alignment horizontal="right" vertical="center"/>
    </xf>
    <xf numFmtId="0" fontId="109" fillId="2" borderId="25" xfId="0" applyFont="1" applyFill="1" applyBorder="1" applyAlignment="1">
      <alignment vertical="top" wrapText="1"/>
    </xf>
    <xf numFmtId="0" fontId="109" fillId="2" borderId="25" xfId="0" applyFont="1" applyFill="1" applyBorder="1" applyAlignment="1">
      <alignment horizontal="left" vertical="top" wrapText="1"/>
    </xf>
    <xf numFmtId="167" fontId="115" fillId="2" borderId="0" xfId="1" applyNumberFormat="1" applyFont="1" applyFill="1" applyBorder="1" applyAlignment="1">
      <alignment horizontal="right" vertical="center"/>
    </xf>
    <xf numFmtId="167" fontId="115" fillId="2" borderId="0" xfId="0" applyNumberFormat="1" applyFont="1" applyFill="1" applyAlignment="1">
      <alignment horizontal="right" vertical="center"/>
    </xf>
    <xf numFmtId="167" fontId="45" fillId="2" borderId="0" xfId="1" applyNumberFormat="1" applyFont="1" applyFill="1" applyBorder="1" applyAlignment="1">
      <alignment horizontal="right" vertical="center"/>
    </xf>
    <xf numFmtId="167" fontId="45" fillId="2" borderId="0" xfId="0" applyNumberFormat="1" applyFont="1" applyFill="1" applyAlignment="1">
      <alignment horizontal="right" vertical="center"/>
    </xf>
    <xf numFmtId="167" fontId="45" fillId="2" borderId="25" xfId="1" applyNumberFormat="1" applyFont="1" applyFill="1" applyBorder="1" applyAlignment="1">
      <alignment horizontal="right" vertical="center"/>
    </xf>
    <xf numFmtId="167" fontId="45" fillId="2" borderId="25" xfId="0" applyNumberFormat="1" applyFont="1" applyFill="1" applyBorder="1" applyAlignment="1">
      <alignment horizontal="right" vertical="center"/>
    </xf>
    <xf numFmtId="167" fontId="115" fillId="2" borderId="30" xfId="1" applyNumberFormat="1" applyFont="1" applyFill="1" applyBorder="1" applyAlignment="1">
      <alignment horizontal="right" vertical="center"/>
    </xf>
    <xf numFmtId="167" fontId="45" fillId="2" borderId="29" xfId="1" applyNumberFormat="1" applyFont="1" applyFill="1" applyBorder="1" applyAlignment="1">
      <alignment horizontal="right" vertical="center"/>
    </xf>
    <xf numFmtId="166" fontId="45" fillId="2" borderId="33" xfId="1" applyNumberFormat="1" applyFont="1" applyFill="1" applyBorder="1" applyAlignment="1">
      <alignment horizontal="right" vertical="center"/>
    </xf>
    <xf numFmtId="166" fontId="45" fillId="2" borderId="32" xfId="1" applyNumberFormat="1" applyFont="1" applyFill="1" applyBorder="1" applyAlignment="1">
      <alignment horizontal="right" vertical="center"/>
    </xf>
    <xf numFmtId="3" fontId="45" fillId="2" borderId="30" xfId="2" applyNumberFormat="1" applyFont="1" applyFill="1" applyBorder="1" applyAlignment="1">
      <alignment vertical="center"/>
    </xf>
    <xf numFmtId="3" fontId="45" fillId="2" borderId="29" xfId="2" applyNumberFormat="1" applyFont="1" applyFill="1" applyBorder="1" applyAlignment="1">
      <alignment vertical="center"/>
    </xf>
    <xf numFmtId="0" fontId="109" fillId="2" borderId="26" xfId="2" applyFont="1" applyFill="1" applyBorder="1" applyAlignment="1">
      <alignment horizontal="left" vertical="center" wrapText="1"/>
    </xf>
    <xf numFmtId="0" fontId="45" fillId="2" borderId="32" xfId="2" applyFont="1" applyFill="1" applyBorder="1" applyAlignment="1">
      <alignment horizontal="left"/>
    </xf>
    <xf numFmtId="0" fontId="109" fillId="2" borderId="29" xfId="2" applyFont="1" applyFill="1" applyBorder="1" applyAlignment="1">
      <alignment horizontal="right" textRotation="90" wrapText="1"/>
    </xf>
    <xf numFmtId="0" fontId="109" fillId="2" borderId="32" xfId="2" applyFont="1" applyFill="1" applyBorder="1" applyAlignment="1">
      <alignment horizontal="right" textRotation="90" wrapText="1"/>
    </xf>
    <xf numFmtId="0" fontId="109" fillId="2" borderId="26" xfId="0" applyFont="1" applyFill="1" applyBorder="1" applyAlignment="1">
      <alignment horizontal="left" vertical="top" wrapText="1"/>
    </xf>
    <xf numFmtId="0" fontId="109" fillId="2" borderId="28" xfId="0" applyFont="1" applyFill="1" applyBorder="1" applyAlignment="1">
      <alignment horizontal="left" vertical="top" wrapText="1"/>
    </xf>
    <xf numFmtId="0" fontId="109" fillId="2" borderId="26" xfId="0" applyFont="1" applyFill="1" applyBorder="1" applyAlignment="1">
      <alignment vertical="center" wrapText="1"/>
    </xf>
    <xf numFmtId="0" fontId="109" fillId="2" borderId="29" xfId="0" applyFont="1" applyFill="1" applyBorder="1" applyAlignment="1">
      <alignment vertical="top" wrapText="1"/>
    </xf>
    <xf numFmtId="166" fontId="110" fillId="2" borderId="0" xfId="1" applyNumberFormat="1" applyFont="1" applyFill="1" applyBorder="1" applyAlignment="1">
      <alignment horizontal="right" vertical="center"/>
    </xf>
    <xf numFmtId="0" fontId="109" fillId="2" borderId="30" xfId="0" applyFont="1" applyFill="1" applyBorder="1" applyAlignment="1">
      <alignment horizontal="right"/>
    </xf>
    <xf numFmtId="0" fontId="109" fillId="2" borderId="0" xfId="0" applyFont="1" applyFill="1" applyAlignment="1">
      <alignment horizontal="right"/>
    </xf>
    <xf numFmtId="0" fontId="138" fillId="2" borderId="30" xfId="0" applyFont="1" applyFill="1" applyBorder="1" applyAlignment="1">
      <alignment horizontal="right" wrapText="1"/>
    </xf>
    <xf numFmtId="0" fontId="138" fillId="2" borderId="0" xfId="0" applyFont="1" applyFill="1" applyAlignment="1">
      <alignment horizontal="right" wrapText="1"/>
    </xf>
    <xf numFmtId="0" fontId="109" fillId="2" borderId="25" xfId="0" applyFont="1" applyFill="1" applyBorder="1" applyAlignment="1">
      <alignment horizontal="left" vertical="center" wrapText="1"/>
    </xf>
    <xf numFmtId="0" fontId="138" fillId="2" borderId="29" xfId="0" applyFont="1" applyFill="1" applyBorder="1" applyAlignment="1">
      <alignment horizontal="right" wrapText="1"/>
    </xf>
    <xf numFmtId="0" fontId="138" fillId="2" borderId="25" xfId="0" applyFont="1" applyFill="1" applyBorder="1" applyAlignment="1">
      <alignment horizontal="right" wrapText="1"/>
    </xf>
    <xf numFmtId="0" fontId="93" fillId="2" borderId="0" xfId="0" applyFont="1" applyFill="1" applyAlignment="1">
      <alignment horizontal="left" wrapText="1"/>
    </xf>
    <xf numFmtId="1" fontId="109" fillId="2" borderId="26" xfId="0" applyNumberFormat="1" applyFont="1" applyFill="1" applyBorder="1" applyAlignment="1">
      <alignment horizontal="left" vertical="center" wrapText="1"/>
    </xf>
    <xf numFmtId="0" fontId="45" fillId="0" borderId="25" xfId="0" applyFont="1" applyBorder="1"/>
    <xf numFmtId="0" fontId="109" fillId="2" borderId="25" xfId="0" applyFont="1" applyFill="1" applyBorder="1" applyAlignment="1">
      <alignment vertical="top"/>
    </xf>
    <xf numFmtId="0" fontId="109" fillId="2" borderId="25" xfId="0" applyFont="1" applyFill="1" applyBorder="1" applyAlignment="1">
      <alignment horizontal="center"/>
    </xf>
    <xf numFmtId="0" fontId="45" fillId="2" borderId="6" xfId="0" applyFont="1" applyFill="1" applyBorder="1" applyAlignment="1">
      <alignment vertical="center"/>
    </xf>
    <xf numFmtId="1" fontId="45" fillId="2" borderId="6" xfId="0" applyNumberFormat="1" applyFont="1" applyFill="1" applyBorder="1" applyAlignment="1">
      <alignment vertical="center" wrapText="1"/>
    </xf>
    <xf numFmtId="0" fontId="45" fillId="2" borderId="6" xfId="0" applyFont="1" applyFill="1" applyBorder="1" applyAlignment="1">
      <alignment horizontal="right" vertical="center"/>
    </xf>
    <xf numFmtId="3" fontId="45" fillId="2" borderId="6" xfId="0" applyNumberFormat="1" applyFont="1" applyFill="1" applyBorder="1" applyAlignment="1">
      <alignment horizontal="right" vertical="center"/>
    </xf>
    <xf numFmtId="166" fontId="45" fillId="2" borderId="6" xfId="1" applyNumberFormat="1" applyFont="1" applyFill="1" applyBorder="1" applyAlignment="1">
      <alignment horizontal="right" vertical="center"/>
    </xf>
    <xf numFmtId="0" fontId="109" fillId="2" borderId="6" xfId="0" applyFont="1" applyFill="1" applyBorder="1" applyAlignment="1">
      <alignment vertical="center" wrapText="1"/>
    </xf>
    <xf numFmtId="0" fontId="109" fillId="2" borderId="30" xfId="0" applyFont="1" applyFill="1" applyBorder="1" applyAlignment="1">
      <alignment vertical="top" wrapText="1"/>
    </xf>
    <xf numFmtId="0" fontId="129" fillId="0" borderId="30" xfId="0" applyFont="1" applyBorder="1"/>
    <xf numFmtId="0" fontId="109" fillId="2" borderId="25" xfId="0" applyFont="1" applyFill="1" applyBorder="1" applyAlignment="1">
      <alignment horizontal="center" vertical="center" wrapText="1"/>
    </xf>
    <xf numFmtId="166" fontId="45" fillId="2" borderId="0" xfId="0" applyNumberFormat="1" applyFont="1" applyFill="1" applyAlignment="1">
      <alignment vertical="center"/>
    </xf>
    <xf numFmtId="0" fontId="45" fillId="2" borderId="25" xfId="0" applyFont="1" applyFill="1" applyBorder="1" applyAlignment="1">
      <alignment vertical="center"/>
    </xf>
    <xf numFmtId="0" fontId="109" fillId="2" borderId="0" xfId="0" applyFont="1" applyFill="1" applyAlignment="1">
      <alignment horizontal="right" textRotation="90" wrapText="1"/>
    </xf>
    <xf numFmtId="0" fontId="109" fillId="2" borderId="25" xfId="2" applyFont="1" applyFill="1" applyBorder="1" applyAlignment="1">
      <alignment horizontal="center" textRotation="90" wrapText="1"/>
    </xf>
    <xf numFmtId="0" fontId="107" fillId="0" borderId="0" xfId="2" quotePrefix="1" applyFont="1" applyAlignment="1">
      <alignment horizontal="left"/>
    </xf>
    <xf numFmtId="0" fontId="107" fillId="0" borderId="0" xfId="2" applyFont="1" applyAlignment="1">
      <alignment horizontal="left"/>
    </xf>
    <xf numFmtId="0" fontId="140" fillId="0" borderId="0" xfId="2" applyFont="1"/>
    <xf numFmtId="0" fontId="116" fillId="0" borderId="0" xfId="2" applyFont="1" applyAlignment="1">
      <alignment wrapText="1"/>
    </xf>
    <xf numFmtId="167" fontId="116" fillId="0" borderId="0" xfId="2" applyNumberFormat="1" applyFont="1"/>
    <xf numFmtId="0" fontId="109" fillId="2" borderId="0" xfId="0" applyFont="1" applyFill="1" applyAlignment="1">
      <alignment horizontal="left" vertical="top" wrapText="1"/>
    </xf>
    <xf numFmtId="167" fontId="45" fillId="2" borderId="31" xfId="20" applyNumberFormat="1" applyFont="1" applyFill="1" applyBorder="1" applyAlignment="1">
      <alignment horizontal="right" vertical="center"/>
    </xf>
    <xf numFmtId="0" fontId="9" fillId="0" borderId="0" xfId="1539"/>
    <xf numFmtId="0" fontId="141" fillId="0" borderId="0" xfId="1539" applyFont="1"/>
    <xf numFmtId="0" fontId="92" fillId="0" borderId="0" xfId="0" applyFont="1"/>
    <xf numFmtId="0" fontId="92" fillId="0" borderId="0" xfId="1539" applyFont="1"/>
    <xf numFmtId="0" fontId="142" fillId="0" borderId="0" xfId="1539" applyFont="1" applyAlignment="1">
      <alignment horizontal="left"/>
    </xf>
    <xf numFmtId="184" fontId="142" fillId="0" borderId="0" xfId="1539" applyNumberFormat="1" applyFont="1" applyAlignment="1">
      <alignment horizontal="left"/>
    </xf>
    <xf numFmtId="0" fontId="116" fillId="0" borderId="0" xfId="2" applyFont="1"/>
    <xf numFmtId="167" fontId="45" fillId="2" borderId="26" xfId="20" applyNumberFormat="1" applyFont="1" applyFill="1" applyBorder="1" applyAlignment="1">
      <alignment horizontal="right" vertical="center"/>
    </xf>
    <xf numFmtId="167" fontId="122" fillId="0" borderId="0" xfId="0" applyNumberFormat="1" applyFont="1"/>
    <xf numFmtId="185" fontId="45" fillId="0" borderId="0" xfId="2" applyNumberFormat="1" applyFont="1"/>
    <xf numFmtId="167" fontId="45" fillId="2" borderId="32" xfId="20" applyNumberFormat="1" applyFont="1" applyFill="1" applyBorder="1" applyAlignment="1">
      <alignment horizontal="right" vertical="center"/>
    </xf>
    <xf numFmtId="167" fontId="45" fillId="2" borderId="34" xfId="20" applyNumberFormat="1" applyFont="1" applyFill="1" applyBorder="1" applyAlignment="1">
      <alignment horizontal="right" vertical="center"/>
    </xf>
    <xf numFmtId="4" fontId="45" fillId="0" borderId="0" xfId="1" applyNumberFormat="1" applyFont="1" applyFill="1" applyBorder="1"/>
    <xf numFmtId="0" fontId="45" fillId="0" borderId="26" xfId="0" applyFont="1" applyBorder="1" applyAlignment="1">
      <alignment horizontal="left" vertical="center"/>
    </xf>
    <xf numFmtId="0" fontId="9" fillId="0" borderId="30" xfId="0" applyFont="1" applyBorder="1"/>
    <xf numFmtId="0" fontId="9" fillId="0" borderId="33" xfId="0" applyFont="1" applyBorder="1"/>
    <xf numFmtId="167" fontId="45" fillId="2" borderId="25" xfId="20" applyNumberFormat="1" applyFont="1" applyFill="1" applyBorder="1" applyAlignment="1">
      <alignment horizontal="right" vertical="center"/>
    </xf>
    <xf numFmtId="167" fontId="45" fillId="2" borderId="6" xfId="20" applyNumberFormat="1" applyFont="1" applyFill="1" applyBorder="1" applyAlignment="1">
      <alignment horizontal="right" vertical="center"/>
    </xf>
    <xf numFmtId="167" fontId="45" fillId="2" borderId="27" xfId="2" applyNumberFormat="1" applyFont="1" applyFill="1" applyBorder="1" applyAlignment="1">
      <alignment horizontal="right" vertical="center"/>
    </xf>
    <xf numFmtId="167" fontId="45" fillId="2" borderId="2" xfId="2" applyNumberFormat="1" applyFont="1" applyFill="1" applyBorder="1" applyAlignment="1">
      <alignment horizontal="right" vertical="center"/>
    </xf>
    <xf numFmtId="167" fontId="45" fillId="2" borderId="34" xfId="2" applyNumberFormat="1" applyFont="1" applyFill="1" applyBorder="1" applyAlignment="1">
      <alignment horizontal="right" vertical="center"/>
    </xf>
    <xf numFmtId="167" fontId="45" fillId="2" borderId="29" xfId="20" applyNumberFormat="1" applyFont="1" applyFill="1" applyBorder="1" applyAlignment="1">
      <alignment horizontal="right" vertical="center"/>
    </xf>
    <xf numFmtId="167" fontId="45" fillId="2" borderId="27" xfId="20" applyNumberFormat="1" applyFont="1" applyFill="1" applyBorder="1" applyAlignment="1">
      <alignment horizontal="right" vertical="center"/>
    </xf>
    <xf numFmtId="166" fontId="45" fillId="2" borderId="6" xfId="1" applyNumberFormat="1" applyFont="1" applyFill="1" applyBorder="1" applyAlignment="1">
      <alignment vertical="center"/>
    </xf>
    <xf numFmtId="3" fontId="45" fillId="2" borderId="32" xfId="2" applyNumberFormat="1" applyFont="1" applyFill="1" applyBorder="1" applyAlignment="1">
      <alignment horizontal="right" vertical="center"/>
    </xf>
    <xf numFmtId="3" fontId="45" fillId="2" borderId="27" xfId="2" applyNumberFormat="1" applyFont="1" applyFill="1" applyBorder="1" applyAlignment="1">
      <alignment horizontal="right" vertical="center"/>
    </xf>
    <xf numFmtId="3" fontId="45" fillId="2" borderId="6" xfId="2" applyNumberFormat="1" applyFont="1" applyFill="1" applyBorder="1" applyAlignment="1">
      <alignment horizontal="right" vertical="center"/>
    </xf>
    <xf numFmtId="3" fontId="45" fillId="2" borderId="34" xfId="2" applyNumberFormat="1" applyFont="1" applyFill="1" applyBorder="1" applyAlignment="1">
      <alignment horizontal="right" vertical="center"/>
    </xf>
    <xf numFmtId="0" fontId="130" fillId="0" borderId="0" xfId="1535" applyFont="1" applyAlignment="1">
      <alignment horizontal="left" vertical="center" wrapText="1"/>
    </xf>
    <xf numFmtId="0" fontId="132" fillId="0" borderId="0" xfId="1535" applyFont="1" applyAlignment="1">
      <alignment horizontal="left" vertical="center" wrapText="1"/>
    </xf>
    <xf numFmtId="0" fontId="32" fillId="0" borderId="0" xfId="1535" applyFont="1" applyAlignment="1">
      <alignment horizontal="center"/>
    </xf>
    <xf numFmtId="49" fontId="32" fillId="0" borderId="0" xfId="1535" applyNumberFormat="1" applyFont="1" applyAlignment="1">
      <alignment horizontal="center" vertical="center"/>
    </xf>
    <xf numFmtId="49" fontId="33" fillId="0" borderId="0" xfId="1535" applyNumberFormat="1" applyFont="1" applyAlignment="1">
      <alignment horizontal="center" vertical="center"/>
    </xf>
    <xf numFmtId="0" fontId="97" fillId="0" borderId="0" xfId="0" applyFont="1" applyAlignment="1">
      <alignment horizontal="justify" vertical="top" wrapText="1"/>
    </xf>
    <xf numFmtId="0" fontId="54" fillId="2" borderId="0" xfId="2" applyFont="1" applyFill="1" applyAlignment="1">
      <alignment horizontal="justify" wrapText="1"/>
    </xf>
    <xf numFmtId="3" fontId="92" fillId="0" borderId="0" xfId="2" applyNumberFormat="1" applyFont="1" applyAlignment="1">
      <alignment horizontal="center"/>
    </xf>
    <xf numFmtId="0" fontId="107" fillId="0" borderId="25" xfId="2" applyFont="1" applyBorder="1" applyAlignment="1">
      <alignment horizontal="left"/>
    </xf>
    <xf numFmtId="0" fontId="92" fillId="0" borderId="0" xfId="0" applyFont="1" applyAlignment="1">
      <alignment horizontal="right"/>
    </xf>
    <xf numFmtId="0" fontId="107" fillId="0" borderId="0" xfId="2" applyFont="1" applyAlignment="1">
      <alignment horizontal="left"/>
    </xf>
    <xf numFmtId="0" fontId="54" fillId="2" borderId="0" xfId="2" applyFont="1" applyFill="1" applyAlignment="1">
      <alignment horizontal="justify" vertical="top" wrapText="1"/>
    </xf>
    <xf numFmtId="0" fontId="107" fillId="2" borderId="25" xfId="2" applyFont="1" applyFill="1" applyBorder="1" applyAlignment="1">
      <alignment horizontal="left" wrapText="1"/>
    </xf>
    <xf numFmtId="0" fontId="45" fillId="2" borderId="25" xfId="0" applyFont="1" applyFill="1" applyBorder="1" applyAlignment="1">
      <alignment horizontal="left" vertical="center"/>
    </xf>
    <xf numFmtId="0" fontId="109" fillId="2" borderId="26" xfId="0" applyFont="1" applyFill="1" applyBorder="1" applyAlignment="1">
      <alignment horizontal="center" vertical="center" textRotation="90" wrapText="1"/>
    </xf>
    <xf numFmtId="0" fontId="109" fillId="2" borderId="0" xfId="0" applyFont="1" applyFill="1" applyAlignment="1">
      <alignment horizontal="center" vertical="center" textRotation="90" wrapText="1"/>
    </xf>
    <xf numFmtId="0" fontId="109" fillId="2" borderId="25" xfId="0" applyFont="1" applyFill="1" applyBorder="1" applyAlignment="1">
      <alignment horizontal="center" vertical="center" textRotation="90" wrapText="1"/>
    </xf>
    <xf numFmtId="0" fontId="45" fillId="2" borderId="26" xfId="0" applyFont="1" applyFill="1" applyBorder="1" applyAlignment="1">
      <alignment horizontal="left" vertical="top" wrapText="1"/>
    </xf>
    <xf numFmtId="0" fontId="45" fillId="2" borderId="0" xfId="0" applyFont="1" applyFill="1" applyAlignment="1">
      <alignment horizontal="left" vertical="top" wrapText="1"/>
    </xf>
    <xf numFmtId="0" fontId="45" fillId="2" borderId="25" xfId="0" applyFont="1" applyFill="1" applyBorder="1" applyAlignment="1">
      <alignment horizontal="left" vertical="top" wrapText="1"/>
    </xf>
    <xf numFmtId="0" fontId="45" fillId="2" borderId="6" xfId="0" applyFont="1" applyFill="1" applyBorder="1" applyAlignment="1">
      <alignment horizontal="left" vertical="center" wrapText="1"/>
    </xf>
    <xf numFmtId="0" fontId="103" fillId="0" borderId="0" xfId="0" applyFont="1" applyAlignment="1">
      <alignment horizontal="justify" vertical="top" wrapText="1"/>
    </xf>
    <xf numFmtId="0" fontId="140" fillId="0" borderId="0" xfId="0" applyFont="1" applyAlignment="1">
      <alignment horizontal="left"/>
    </xf>
    <xf numFmtId="1" fontId="93" fillId="0" borderId="0" xfId="0" applyNumberFormat="1" applyFont="1" applyAlignment="1">
      <alignment horizontal="center" vertical="center"/>
    </xf>
    <xf numFmtId="0" fontId="93" fillId="0" borderId="0" xfId="0" applyFont="1" applyAlignment="1">
      <alignment horizontal="center" vertical="center"/>
    </xf>
    <xf numFmtId="0" fontId="109" fillId="2" borderId="28" xfId="0" applyFont="1" applyFill="1" applyBorder="1" applyAlignment="1">
      <alignment horizontal="left" vertical="center"/>
    </xf>
    <xf numFmtId="0" fontId="109" fillId="2" borderId="26" xfId="0" applyFont="1" applyFill="1" applyBorder="1" applyAlignment="1">
      <alignment horizontal="left" vertical="center"/>
    </xf>
    <xf numFmtId="0" fontId="109" fillId="2" borderId="31" xfId="0" applyFont="1" applyFill="1" applyBorder="1" applyAlignment="1">
      <alignment horizontal="left" vertical="center"/>
    </xf>
    <xf numFmtId="0" fontId="45" fillId="2" borderId="0" xfId="0" applyFont="1" applyFill="1" applyAlignment="1">
      <alignment horizontal="left" vertical="top"/>
    </xf>
    <xf numFmtId="0" fontId="45" fillId="2" borderId="25" xfId="0" applyFont="1" applyFill="1" applyBorder="1" applyAlignment="1">
      <alignment horizontal="left" vertical="top"/>
    </xf>
    <xf numFmtId="0" fontId="45" fillId="2" borderId="26" xfId="0" applyFont="1" applyFill="1" applyBorder="1" applyAlignment="1">
      <alignment horizontal="left" vertical="top"/>
    </xf>
    <xf numFmtId="0" fontId="109" fillId="2" borderId="27" xfId="2" applyFont="1" applyFill="1" applyBorder="1" applyAlignment="1">
      <alignment horizontal="left" vertical="top" wrapText="1"/>
    </xf>
    <xf numFmtId="0" fontId="109" fillId="2" borderId="6" xfId="2" applyFont="1" applyFill="1" applyBorder="1" applyAlignment="1">
      <alignment horizontal="left" vertical="top" wrapText="1"/>
    </xf>
    <xf numFmtId="0" fontId="105" fillId="0" borderId="0" xfId="2" applyFont="1" applyAlignment="1">
      <alignment horizontal="left" wrapText="1"/>
    </xf>
    <xf numFmtId="1" fontId="93" fillId="0" borderId="0" xfId="2" applyNumberFormat="1" applyFont="1" applyAlignment="1">
      <alignment horizontal="center" vertical="center" wrapText="1"/>
    </xf>
    <xf numFmtId="0" fontId="93" fillId="0" borderId="0" xfId="2" applyFont="1" applyAlignment="1">
      <alignment horizontal="center" vertical="center" wrapText="1"/>
    </xf>
    <xf numFmtId="0" fontId="140" fillId="0" borderId="0" xfId="2" applyFont="1" applyAlignment="1">
      <alignment horizontal="left"/>
    </xf>
    <xf numFmtId="0" fontId="109" fillId="2" borderId="34" xfId="2" applyFont="1" applyFill="1" applyBorder="1" applyAlignment="1">
      <alignment horizontal="left" vertical="top" wrapText="1"/>
    </xf>
    <xf numFmtId="0" fontId="109" fillId="2" borderId="0" xfId="2" applyFont="1" applyFill="1" applyAlignment="1">
      <alignment horizontal="left" vertical="top" wrapText="1"/>
    </xf>
    <xf numFmtId="0" fontId="109" fillId="2" borderId="25" xfId="2" applyFont="1" applyFill="1" applyBorder="1" applyAlignment="1">
      <alignment horizontal="left" vertical="top" wrapText="1"/>
    </xf>
    <xf numFmtId="0" fontId="109" fillId="2" borderId="33" xfId="2" applyFont="1" applyFill="1" applyBorder="1" applyAlignment="1">
      <alignment horizontal="left" vertical="top" wrapText="1"/>
    </xf>
    <xf numFmtId="0" fontId="109" fillId="2" borderId="32" xfId="2" applyFont="1" applyFill="1" applyBorder="1" applyAlignment="1">
      <alignment horizontal="left" vertical="top" wrapText="1"/>
    </xf>
    <xf numFmtId="0" fontId="109" fillId="2" borderId="27" xfId="2" applyFont="1" applyFill="1" applyBorder="1" applyAlignment="1">
      <alignment horizontal="left" vertical="center" wrapText="1"/>
    </xf>
    <xf numFmtId="0" fontId="109" fillId="2" borderId="2" xfId="2" applyFont="1" applyFill="1" applyBorder="1" applyAlignment="1">
      <alignment horizontal="left" vertical="center" wrapText="1"/>
    </xf>
    <xf numFmtId="0" fontId="109" fillId="2" borderId="34" xfId="2" applyFont="1" applyFill="1" applyBorder="1" applyAlignment="1">
      <alignment horizontal="left" vertical="center" wrapText="1"/>
    </xf>
    <xf numFmtId="0" fontId="109" fillId="2" borderId="6" xfId="2" applyFont="1" applyFill="1" applyBorder="1" applyAlignment="1">
      <alignment horizontal="left" vertical="center" wrapText="1"/>
    </xf>
    <xf numFmtId="0" fontId="109" fillId="2" borderId="29" xfId="2" applyFont="1" applyFill="1" applyBorder="1" applyAlignment="1">
      <alignment horizontal="left" vertical="top" wrapText="1"/>
    </xf>
    <xf numFmtId="0" fontId="105" fillId="0" borderId="0" xfId="2" applyFont="1" applyAlignment="1">
      <alignment horizontal="left"/>
    </xf>
    <xf numFmtId="0" fontId="117" fillId="0" borderId="0" xfId="2" applyFont="1" applyAlignment="1">
      <alignment horizontal="right" vertical="center" wrapText="1"/>
    </xf>
    <xf numFmtId="1" fontId="45" fillId="0" borderId="0" xfId="2" applyNumberFormat="1" applyFont="1" applyAlignment="1">
      <alignment horizontal="center" vertical="center"/>
    </xf>
    <xf numFmtId="1" fontId="93" fillId="0" borderId="25" xfId="2" applyNumberFormat="1" applyFont="1" applyBorder="1" applyAlignment="1">
      <alignment horizontal="center" wrapText="1"/>
    </xf>
    <xf numFmtId="0" fontId="93" fillId="0" borderId="25" xfId="2" applyFont="1" applyBorder="1" applyAlignment="1">
      <alignment horizontal="center" wrapText="1"/>
    </xf>
    <xf numFmtId="1" fontId="109" fillId="2" borderId="26" xfId="2" applyNumberFormat="1" applyFont="1" applyFill="1" applyBorder="1" applyAlignment="1">
      <alignment horizontal="right" wrapText="1"/>
    </xf>
    <xf numFmtId="1" fontId="109" fillId="2" borderId="25" xfId="2" applyNumberFormat="1" applyFont="1" applyFill="1" applyBorder="1" applyAlignment="1">
      <alignment horizontal="right" wrapText="1"/>
    </xf>
    <xf numFmtId="0" fontId="127" fillId="0" borderId="28" xfId="0" applyFont="1" applyBorder="1" applyAlignment="1">
      <alignment horizontal="left"/>
    </xf>
    <xf numFmtId="0" fontId="127" fillId="0" borderId="26" xfId="0" applyFont="1" applyBorder="1" applyAlignment="1">
      <alignment horizontal="left"/>
    </xf>
    <xf numFmtId="0" fontId="127" fillId="0" borderId="31" xfId="0" applyFont="1" applyBorder="1" applyAlignment="1">
      <alignment horizontal="left"/>
    </xf>
    <xf numFmtId="0" fontId="140" fillId="0" borderId="0" xfId="0" applyFont="1" applyAlignment="1">
      <alignment horizontal="left" vertical="center" wrapText="1"/>
    </xf>
    <xf numFmtId="0" fontId="109" fillId="2" borderId="6" xfId="0" applyFont="1" applyFill="1" applyBorder="1" applyAlignment="1">
      <alignment horizontal="left" vertical="center"/>
    </xf>
    <xf numFmtId="0" fontId="109" fillId="2" borderId="27" xfId="0" applyFont="1" applyFill="1" applyBorder="1" applyAlignment="1">
      <alignment horizontal="left" vertical="center"/>
    </xf>
    <xf numFmtId="0" fontId="109" fillId="2" borderId="34" xfId="0" applyFont="1" applyFill="1" applyBorder="1" applyAlignment="1">
      <alignment horizontal="left" vertical="center"/>
    </xf>
    <xf numFmtId="0" fontId="109" fillId="2" borderId="29" xfId="0" applyFont="1" applyFill="1" applyBorder="1" applyAlignment="1">
      <alignment horizontal="right" wrapText="1"/>
    </xf>
    <xf numFmtId="0" fontId="109" fillId="2" borderId="25" xfId="0" applyFont="1" applyFill="1" applyBorder="1" applyAlignment="1">
      <alignment horizontal="right" wrapText="1"/>
    </xf>
    <xf numFmtId="0" fontId="105" fillId="0" borderId="0" xfId="0" applyFont="1" applyAlignment="1">
      <alignment horizontal="left"/>
    </xf>
    <xf numFmtId="1" fontId="105" fillId="0" borderId="0" xfId="0" applyNumberFormat="1" applyFont="1" applyAlignment="1">
      <alignment horizontal="left" vertical="top"/>
    </xf>
    <xf numFmtId="0" fontId="105" fillId="0" borderId="0" xfId="0" applyFont="1" applyAlignment="1">
      <alignment horizontal="left" vertical="top"/>
    </xf>
    <xf numFmtId="0" fontId="105" fillId="0" borderId="0" xfId="0" applyFont="1" applyAlignment="1">
      <alignment horizontal="left" vertical="center"/>
    </xf>
    <xf numFmtId="0" fontId="45" fillId="2" borderId="26" xfId="0" applyFont="1" applyFill="1" applyBorder="1" applyAlignment="1">
      <alignment vertical="top" wrapText="1"/>
    </xf>
    <xf numFmtId="0" fontId="45" fillId="2" borderId="0" xfId="0" applyFont="1" applyFill="1" applyAlignment="1">
      <alignment vertical="top" wrapText="1"/>
    </xf>
    <xf numFmtId="0" fontId="45" fillId="2" borderId="25" xfId="0" applyFont="1" applyFill="1" applyBorder="1" applyAlignment="1">
      <alignment vertical="top" wrapText="1"/>
    </xf>
    <xf numFmtId="1" fontId="45" fillId="2" borderId="26" xfId="0" applyNumberFormat="1" applyFont="1" applyFill="1" applyBorder="1" applyAlignment="1">
      <alignment vertical="top" wrapText="1"/>
    </xf>
    <xf numFmtId="0" fontId="105" fillId="0" borderId="0" xfId="0" applyFont="1" applyAlignment="1">
      <alignment horizontal="left" wrapText="1"/>
    </xf>
    <xf numFmtId="1" fontId="112" fillId="0" borderId="25" xfId="0" applyNumberFormat="1" applyFont="1" applyBorder="1" applyAlignment="1">
      <alignment horizontal="left" vertical="center"/>
    </xf>
    <xf numFmtId="0" fontId="109" fillId="2" borderId="30" xfId="0" applyFont="1" applyFill="1" applyBorder="1" applyAlignment="1">
      <alignment horizontal="left" vertical="top" wrapText="1"/>
    </xf>
    <xf numFmtId="0" fontId="109" fillId="2" borderId="0" xfId="0" applyFont="1" applyFill="1" applyAlignment="1">
      <alignment horizontal="left" vertical="top" wrapText="1"/>
    </xf>
    <xf numFmtId="0" fontId="109" fillId="2" borderId="0" xfId="0" applyFont="1" applyFill="1" applyAlignment="1">
      <alignment horizontal="center" vertical="top" wrapText="1"/>
    </xf>
    <xf numFmtId="0" fontId="109" fillId="2" borderId="0" xfId="0" applyFont="1" applyFill="1" applyAlignment="1">
      <alignment horizontal="right" wrapText="1"/>
    </xf>
    <xf numFmtId="1" fontId="109" fillId="2" borderId="28" xfId="0" applyNumberFormat="1" applyFont="1" applyFill="1" applyBorder="1" applyAlignment="1">
      <alignment horizontal="left" vertical="top"/>
    </xf>
    <xf numFmtId="1" fontId="109" fillId="2" borderId="26" xfId="0" applyNumberFormat="1" applyFont="1" applyFill="1" applyBorder="1" applyAlignment="1">
      <alignment horizontal="left" vertical="top"/>
    </xf>
    <xf numFmtId="1" fontId="109" fillId="2" borderId="29" xfId="0" applyNumberFormat="1" applyFont="1" applyFill="1" applyBorder="1" applyAlignment="1">
      <alignment horizontal="left" vertical="top"/>
    </xf>
    <xf numFmtId="1" fontId="109" fillId="2" borderId="25" xfId="0" applyNumberFormat="1" applyFont="1" applyFill="1" applyBorder="1" applyAlignment="1">
      <alignment horizontal="left" vertical="top"/>
    </xf>
    <xf numFmtId="0" fontId="109" fillId="2" borderId="28" xfId="0" applyFont="1" applyFill="1" applyBorder="1" applyAlignment="1">
      <alignment horizontal="left" vertical="top" wrapText="1"/>
    </xf>
    <xf numFmtId="0" fontId="109" fillId="2" borderId="29" xfId="0" applyFont="1" applyFill="1" applyBorder="1" applyAlignment="1">
      <alignment horizontal="left" vertical="top" wrapText="1"/>
    </xf>
    <xf numFmtId="0" fontId="109" fillId="2" borderId="26" xfId="0" applyFont="1" applyFill="1" applyBorder="1" applyAlignment="1">
      <alignment horizontal="left" vertical="top" wrapText="1"/>
    </xf>
    <xf numFmtId="0" fontId="109" fillId="2" borderId="25" xfId="0" applyFont="1" applyFill="1" applyBorder="1" applyAlignment="1">
      <alignment horizontal="left" vertical="top" wrapText="1"/>
    </xf>
    <xf numFmtId="0" fontId="109" fillId="2" borderId="31" xfId="0" applyFont="1" applyFill="1" applyBorder="1" applyAlignment="1">
      <alignment horizontal="left" vertical="top" wrapText="1"/>
    </xf>
    <xf numFmtId="0" fontId="109" fillId="2" borderId="32" xfId="0" applyFont="1" applyFill="1" applyBorder="1" applyAlignment="1">
      <alignment horizontal="left" vertical="top" wrapText="1"/>
    </xf>
    <xf numFmtId="1" fontId="45" fillId="2" borderId="26" xfId="0" applyNumberFormat="1" applyFont="1" applyFill="1" applyBorder="1" applyAlignment="1">
      <alignment horizontal="left" vertical="top" wrapText="1"/>
    </xf>
    <xf numFmtId="1" fontId="45" fillId="2" borderId="0" xfId="0" applyNumberFormat="1" applyFont="1" applyFill="1" applyAlignment="1">
      <alignment horizontal="left" vertical="top" wrapText="1"/>
    </xf>
    <xf numFmtId="1" fontId="45" fillId="2" borderId="25" xfId="0" applyNumberFormat="1" applyFont="1" applyFill="1" applyBorder="1" applyAlignment="1">
      <alignment horizontal="left" vertical="top" wrapText="1"/>
    </xf>
    <xf numFmtId="0" fontId="45" fillId="0" borderId="0" xfId="0" applyFont="1" applyAlignment="1">
      <alignment horizontal="justify" vertical="top" wrapText="1"/>
    </xf>
    <xf numFmtId="0" fontId="140" fillId="0" borderId="0" xfId="0" applyFont="1" applyAlignment="1">
      <alignment horizontal="left" wrapText="1"/>
    </xf>
    <xf numFmtId="0" fontId="109" fillId="2" borderId="27" xfId="0" applyFont="1" applyFill="1" applyBorder="1" applyAlignment="1">
      <alignment horizontal="left" vertical="center" wrapText="1"/>
    </xf>
    <xf numFmtId="0" fontId="109" fillId="2" borderId="6" xfId="0" applyFont="1" applyFill="1" applyBorder="1" applyAlignment="1">
      <alignment horizontal="left" vertical="center" wrapText="1"/>
    </xf>
    <xf numFmtId="0" fontId="109" fillId="2" borderId="34" xfId="0" applyFont="1" applyFill="1" applyBorder="1" applyAlignment="1">
      <alignment horizontal="left" vertical="center" wrapText="1"/>
    </xf>
    <xf numFmtId="0" fontId="112" fillId="0" borderId="0" xfId="0" applyFont="1" applyAlignment="1">
      <alignment horizontal="left" vertical="center"/>
    </xf>
    <xf numFmtId="0" fontId="109" fillId="2" borderId="33" xfId="0" applyFont="1" applyFill="1" applyBorder="1" applyAlignment="1">
      <alignment horizontal="right" wrapText="1"/>
    </xf>
    <xf numFmtId="0" fontId="109" fillId="2" borderId="32" xfId="0" applyFont="1" applyFill="1" applyBorder="1" applyAlignment="1">
      <alignment horizontal="right" wrapText="1"/>
    </xf>
    <xf numFmtId="0" fontId="107" fillId="2" borderId="25" xfId="0" applyFont="1" applyFill="1" applyBorder="1" applyAlignment="1">
      <alignment horizontal="left" vertical="center"/>
    </xf>
    <xf numFmtId="0" fontId="45" fillId="0" borderId="0" xfId="0" applyFont="1" applyAlignment="1">
      <alignment horizontal="left" vertical="top" wrapText="1"/>
    </xf>
    <xf numFmtId="0" fontId="105" fillId="0" borderId="0" xfId="0" applyFont="1" applyAlignment="1">
      <alignment horizontal="center" vertical="top"/>
    </xf>
    <xf numFmtId="0" fontId="105" fillId="0" borderId="0" xfId="0" applyFont="1" applyAlignment="1">
      <alignment horizontal="center" vertical="top" wrapText="1"/>
    </xf>
    <xf numFmtId="0" fontId="45" fillId="0" borderId="0" xfId="0" applyFont="1" applyAlignment="1">
      <alignment horizontal="left" vertical="center"/>
    </xf>
    <xf numFmtId="0" fontId="105" fillId="0" borderId="0" xfId="0" applyFont="1" applyAlignment="1">
      <alignment horizontal="left" vertical="top" wrapText="1"/>
    </xf>
    <xf numFmtId="1" fontId="105" fillId="0" borderId="0" xfId="0" applyNumberFormat="1" applyFont="1" applyAlignment="1">
      <alignment horizontal="center" vertical="top" wrapText="1"/>
    </xf>
    <xf numFmtId="1" fontId="105" fillId="0" borderId="0" xfId="0" applyNumberFormat="1" applyFont="1" applyAlignment="1">
      <alignment horizontal="center" vertical="top"/>
    </xf>
    <xf numFmtId="0" fontId="109" fillId="2" borderId="26" xfId="0" applyFont="1" applyFill="1" applyBorder="1" applyAlignment="1">
      <alignment horizontal="right" wrapText="1"/>
    </xf>
    <xf numFmtId="0" fontId="109" fillId="2" borderId="31" xfId="0" applyFont="1" applyFill="1" applyBorder="1" applyAlignment="1">
      <alignment horizontal="right" wrapText="1"/>
    </xf>
    <xf numFmtId="0" fontId="105" fillId="0" borderId="0" xfId="0" applyFont="1" applyAlignment="1">
      <alignment horizontal="left" vertical="center" readingOrder="1"/>
    </xf>
    <xf numFmtId="1" fontId="112" fillId="0" borderId="0" xfId="2" applyNumberFormat="1" applyFont="1" applyAlignment="1">
      <alignment horizontal="left" vertical="top" wrapText="1"/>
    </xf>
    <xf numFmtId="0" fontId="112" fillId="0" borderId="0" xfId="2" applyFont="1" applyAlignment="1">
      <alignment horizontal="left" vertical="top" wrapText="1"/>
    </xf>
    <xf numFmtId="1" fontId="112" fillId="0" borderId="0" xfId="0" applyNumberFormat="1" applyFont="1" applyAlignment="1">
      <alignment horizontal="left" vertical="center"/>
    </xf>
    <xf numFmtId="0" fontId="109" fillId="2" borderId="0" xfId="0" applyFont="1" applyFill="1" applyAlignment="1">
      <alignment horizontal="left" vertical="center"/>
    </xf>
    <xf numFmtId="0" fontId="109" fillId="2" borderId="25" xfId="0" applyFont="1" applyFill="1" applyBorder="1" applyAlignment="1">
      <alignment horizontal="left" vertical="center" wrapText="1"/>
    </xf>
    <xf numFmtId="0" fontId="109" fillId="2" borderId="28" xfId="0" applyFont="1" applyFill="1" applyBorder="1" applyAlignment="1">
      <alignment horizontal="left" vertical="center" wrapText="1"/>
    </xf>
    <xf numFmtId="0" fontId="109" fillId="2" borderId="26" xfId="0" applyFont="1" applyFill="1" applyBorder="1" applyAlignment="1">
      <alignment horizontal="left" vertical="center" wrapText="1"/>
    </xf>
    <xf numFmtId="0" fontId="109" fillId="2" borderId="31" xfId="0" applyFont="1" applyFill="1" applyBorder="1" applyAlignment="1">
      <alignment horizontal="left" vertical="center" wrapText="1"/>
    </xf>
    <xf numFmtId="0" fontId="109" fillId="2" borderId="0" xfId="0" applyFont="1" applyFill="1" applyAlignment="1">
      <alignment horizontal="left" vertical="center" wrapText="1"/>
    </xf>
    <xf numFmtId="1" fontId="109" fillId="2" borderId="6" xfId="0" applyNumberFormat="1" applyFont="1" applyFill="1" applyBorder="1" applyAlignment="1">
      <alignment horizontal="left" vertical="center"/>
    </xf>
    <xf numFmtId="0" fontId="45" fillId="0" borderId="0" xfId="2" applyFont="1" applyAlignment="1">
      <alignment horizontal="left"/>
    </xf>
    <xf numFmtId="0" fontId="45" fillId="0" borderId="0" xfId="2" applyFont="1" applyAlignment="1">
      <alignment horizontal="left" vertical="top" wrapText="1"/>
    </xf>
    <xf numFmtId="0" fontId="103" fillId="0" borderId="0" xfId="0" applyFont="1" applyAlignment="1">
      <alignment vertical="top" wrapText="1"/>
    </xf>
  </cellXfs>
  <cellStyles count="1540">
    <cellStyle name="$l0 %" xfId="88" xr:uid="{00000000-0005-0000-0000-000000000000}"/>
    <cellStyle name="$l0 % 2" xfId="89" xr:uid="{00000000-0005-0000-0000-000001000000}"/>
    <cellStyle name="$l0 % 2 2" xfId="90" xr:uid="{00000000-0005-0000-0000-000002000000}"/>
    <cellStyle name="$l0 % 2 3" xfId="91" xr:uid="{00000000-0005-0000-0000-000003000000}"/>
    <cellStyle name="$l0 % 2 4" xfId="92" xr:uid="{00000000-0005-0000-0000-000004000000}"/>
    <cellStyle name="$l0 % 2 5" xfId="93" xr:uid="{00000000-0005-0000-0000-000005000000}"/>
    <cellStyle name="$l0 % 2 6" xfId="94" xr:uid="{00000000-0005-0000-0000-000006000000}"/>
    <cellStyle name="$l0 % 2 7" xfId="95" xr:uid="{00000000-0005-0000-0000-000007000000}"/>
    <cellStyle name="$l0 % 3" xfId="96" xr:uid="{00000000-0005-0000-0000-000008000000}"/>
    <cellStyle name="$l0 % 3 2" xfId="97" xr:uid="{00000000-0005-0000-0000-000009000000}"/>
    <cellStyle name="$l0 % 3 3" xfId="98" xr:uid="{00000000-0005-0000-0000-00000A000000}"/>
    <cellStyle name="$l0 % 3 4" xfId="99" xr:uid="{00000000-0005-0000-0000-00000B000000}"/>
    <cellStyle name="$l0 % 3 5" xfId="100" xr:uid="{00000000-0005-0000-0000-00000C000000}"/>
    <cellStyle name="$l0 % 3 6" xfId="101" xr:uid="{00000000-0005-0000-0000-00000D000000}"/>
    <cellStyle name="$l0 % 3 7" xfId="102" xr:uid="{00000000-0005-0000-0000-00000E000000}"/>
    <cellStyle name="$l0 % 4" xfId="103" xr:uid="{00000000-0005-0000-0000-00000F000000}"/>
    <cellStyle name="$l0 % 5" xfId="104" xr:uid="{00000000-0005-0000-0000-000010000000}"/>
    <cellStyle name="$l0 % 6" xfId="105" xr:uid="{00000000-0005-0000-0000-000011000000}"/>
    <cellStyle name="$l0 % 7" xfId="106" xr:uid="{00000000-0005-0000-0000-000012000000}"/>
    <cellStyle name="$l0 % 8" xfId="107" xr:uid="{00000000-0005-0000-0000-000013000000}"/>
    <cellStyle name="$l0 % 9" xfId="108" xr:uid="{00000000-0005-0000-0000-000014000000}"/>
    <cellStyle name="$l0 Dec" xfId="109" xr:uid="{00000000-0005-0000-0000-000015000000}"/>
    <cellStyle name="$l0 Dec 2" xfId="110" xr:uid="{00000000-0005-0000-0000-000016000000}"/>
    <cellStyle name="$l0 Dec 2 2" xfId="111" xr:uid="{00000000-0005-0000-0000-000017000000}"/>
    <cellStyle name="$l0 Dec 2 3" xfId="112" xr:uid="{00000000-0005-0000-0000-000018000000}"/>
    <cellStyle name="$l0 Dec 2 4" xfId="113" xr:uid="{00000000-0005-0000-0000-000019000000}"/>
    <cellStyle name="$l0 Dec 2 5" xfId="114" xr:uid="{00000000-0005-0000-0000-00001A000000}"/>
    <cellStyle name="$l0 Dec 2 6" xfId="115" xr:uid="{00000000-0005-0000-0000-00001B000000}"/>
    <cellStyle name="$l0 Dec 2 7" xfId="116" xr:uid="{00000000-0005-0000-0000-00001C000000}"/>
    <cellStyle name="$l0 Dec 3" xfId="117" xr:uid="{00000000-0005-0000-0000-00001D000000}"/>
    <cellStyle name="$l0 Dec 3 2" xfId="118" xr:uid="{00000000-0005-0000-0000-00001E000000}"/>
    <cellStyle name="$l0 Dec 3 3" xfId="119" xr:uid="{00000000-0005-0000-0000-00001F000000}"/>
    <cellStyle name="$l0 Dec 3 4" xfId="120" xr:uid="{00000000-0005-0000-0000-000020000000}"/>
    <cellStyle name="$l0 Dec 3 5" xfId="121" xr:uid="{00000000-0005-0000-0000-000021000000}"/>
    <cellStyle name="$l0 Dec 3 6" xfId="122" xr:uid="{00000000-0005-0000-0000-000022000000}"/>
    <cellStyle name="$l0 Dec 3 7" xfId="123" xr:uid="{00000000-0005-0000-0000-000023000000}"/>
    <cellStyle name="$l0 Dec 4" xfId="124" xr:uid="{00000000-0005-0000-0000-000024000000}"/>
    <cellStyle name="$l0 Dec 5" xfId="125" xr:uid="{00000000-0005-0000-0000-000025000000}"/>
    <cellStyle name="$l0 Dec 6" xfId="126" xr:uid="{00000000-0005-0000-0000-000026000000}"/>
    <cellStyle name="$l0 Dec 7" xfId="127" xr:uid="{00000000-0005-0000-0000-000027000000}"/>
    <cellStyle name="$l0 Dec 8" xfId="128" xr:uid="{00000000-0005-0000-0000-000028000000}"/>
    <cellStyle name="$l0 Dec 9" xfId="129" xr:uid="{00000000-0005-0000-0000-000029000000}"/>
    <cellStyle name="$l0 No" xfId="130" xr:uid="{00000000-0005-0000-0000-00002A000000}"/>
    <cellStyle name="$l0 No 2" xfId="131" xr:uid="{00000000-0005-0000-0000-00002B000000}"/>
    <cellStyle name="$l0 No 2 2" xfId="132" xr:uid="{00000000-0005-0000-0000-00002C000000}"/>
    <cellStyle name="$l0 No 2 3" xfId="133" xr:uid="{00000000-0005-0000-0000-00002D000000}"/>
    <cellStyle name="$l0 No 2 4" xfId="134" xr:uid="{00000000-0005-0000-0000-00002E000000}"/>
    <cellStyle name="$l0 No 2 5" xfId="135" xr:uid="{00000000-0005-0000-0000-00002F000000}"/>
    <cellStyle name="$l0 No 2 6" xfId="136" xr:uid="{00000000-0005-0000-0000-000030000000}"/>
    <cellStyle name="$l0 No 2 7" xfId="137" xr:uid="{00000000-0005-0000-0000-000031000000}"/>
    <cellStyle name="$l0 No 3" xfId="138" xr:uid="{00000000-0005-0000-0000-000032000000}"/>
    <cellStyle name="$l0 No 3 2" xfId="139" xr:uid="{00000000-0005-0000-0000-000033000000}"/>
    <cellStyle name="$l0 No 3 3" xfId="140" xr:uid="{00000000-0005-0000-0000-000034000000}"/>
    <cellStyle name="$l0 No 3 4" xfId="141" xr:uid="{00000000-0005-0000-0000-000035000000}"/>
    <cellStyle name="$l0 No 3 5" xfId="142" xr:uid="{00000000-0005-0000-0000-000036000000}"/>
    <cellStyle name="$l0 No 3 6" xfId="143" xr:uid="{00000000-0005-0000-0000-000037000000}"/>
    <cellStyle name="$l0 No 3 7" xfId="144" xr:uid="{00000000-0005-0000-0000-000038000000}"/>
    <cellStyle name="$l0 No 4" xfId="145" xr:uid="{00000000-0005-0000-0000-000039000000}"/>
    <cellStyle name="$l0 No 5" xfId="146" xr:uid="{00000000-0005-0000-0000-00003A000000}"/>
    <cellStyle name="$l0 No 6" xfId="147" xr:uid="{00000000-0005-0000-0000-00003B000000}"/>
    <cellStyle name="$l0 No 7" xfId="148" xr:uid="{00000000-0005-0000-0000-00003C000000}"/>
    <cellStyle name="$l0 No 8" xfId="149" xr:uid="{00000000-0005-0000-0000-00003D000000}"/>
    <cellStyle name="$l0 No 9" xfId="150" xr:uid="{00000000-0005-0000-0000-00003E000000}"/>
    <cellStyle name="$l0 Row" xfId="151" xr:uid="{00000000-0005-0000-0000-00003F000000}"/>
    <cellStyle name="$l1 %" xfId="152" xr:uid="{00000000-0005-0000-0000-000040000000}"/>
    <cellStyle name="$l1 % 2" xfId="153" xr:uid="{00000000-0005-0000-0000-000041000000}"/>
    <cellStyle name="$l1 % 2 2" xfId="154" xr:uid="{00000000-0005-0000-0000-000042000000}"/>
    <cellStyle name="$l1 % 2 3" xfId="155" xr:uid="{00000000-0005-0000-0000-000043000000}"/>
    <cellStyle name="$l1 % 2 4" xfId="156" xr:uid="{00000000-0005-0000-0000-000044000000}"/>
    <cellStyle name="$l1 % 2 5" xfId="157" xr:uid="{00000000-0005-0000-0000-000045000000}"/>
    <cellStyle name="$l1 % 2 6" xfId="158" xr:uid="{00000000-0005-0000-0000-000046000000}"/>
    <cellStyle name="$l1 % 2 7" xfId="159" xr:uid="{00000000-0005-0000-0000-000047000000}"/>
    <cellStyle name="$l1 % 3" xfId="160" xr:uid="{00000000-0005-0000-0000-000048000000}"/>
    <cellStyle name="$l1 % 3 2" xfId="161" xr:uid="{00000000-0005-0000-0000-000049000000}"/>
    <cellStyle name="$l1 % 3 3" xfId="162" xr:uid="{00000000-0005-0000-0000-00004A000000}"/>
    <cellStyle name="$l1 % 3 4" xfId="163" xr:uid="{00000000-0005-0000-0000-00004B000000}"/>
    <cellStyle name="$l1 % 3 5" xfId="164" xr:uid="{00000000-0005-0000-0000-00004C000000}"/>
    <cellStyle name="$l1 % 3 6" xfId="165" xr:uid="{00000000-0005-0000-0000-00004D000000}"/>
    <cellStyle name="$l1 % 3 7" xfId="166" xr:uid="{00000000-0005-0000-0000-00004E000000}"/>
    <cellStyle name="$l1 % 4" xfId="167" xr:uid="{00000000-0005-0000-0000-00004F000000}"/>
    <cellStyle name="$l1 % 5" xfId="168" xr:uid="{00000000-0005-0000-0000-000050000000}"/>
    <cellStyle name="$l1 % 6" xfId="169" xr:uid="{00000000-0005-0000-0000-000051000000}"/>
    <cellStyle name="$l1 % 7" xfId="170" xr:uid="{00000000-0005-0000-0000-000052000000}"/>
    <cellStyle name="$l1 % 8" xfId="171" xr:uid="{00000000-0005-0000-0000-000053000000}"/>
    <cellStyle name="$l1 % 9" xfId="172" xr:uid="{00000000-0005-0000-0000-000054000000}"/>
    <cellStyle name="$l1 No" xfId="173" xr:uid="{00000000-0005-0000-0000-000055000000}"/>
    <cellStyle name="$l1 No 2" xfId="174" xr:uid="{00000000-0005-0000-0000-000056000000}"/>
    <cellStyle name="$l1 No 2 2" xfId="175" xr:uid="{00000000-0005-0000-0000-000057000000}"/>
    <cellStyle name="$l1 No 2 3" xfId="176" xr:uid="{00000000-0005-0000-0000-000058000000}"/>
    <cellStyle name="$l1 No 2 4" xfId="177" xr:uid="{00000000-0005-0000-0000-000059000000}"/>
    <cellStyle name="$l1 No 2 5" xfId="178" xr:uid="{00000000-0005-0000-0000-00005A000000}"/>
    <cellStyle name="$l1 No 2 6" xfId="179" xr:uid="{00000000-0005-0000-0000-00005B000000}"/>
    <cellStyle name="$l1 No 2 7" xfId="180" xr:uid="{00000000-0005-0000-0000-00005C000000}"/>
    <cellStyle name="$l1 No 3" xfId="181" xr:uid="{00000000-0005-0000-0000-00005D000000}"/>
    <cellStyle name="$l1 No 3 2" xfId="182" xr:uid="{00000000-0005-0000-0000-00005E000000}"/>
    <cellStyle name="$l1 No 3 3" xfId="183" xr:uid="{00000000-0005-0000-0000-00005F000000}"/>
    <cellStyle name="$l1 No 3 4" xfId="184" xr:uid="{00000000-0005-0000-0000-000060000000}"/>
    <cellStyle name="$l1 No 3 5" xfId="185" xr:uid="{00000000-0005-0000-0000-000061000000}"/>
    <cellStyle name="$l1 No 3 6" xfId="186" xr:uid="{00000000-0005-0000-0000-000062000000}"/>
    <cellStyle name="$l1 No 3 7" xfId="187" xr:uid="{00000000-0005-0000-0000-000063000000}"/>
    <cellStyle name="$l1 No 4" xfId="188" xr:uid="{00000000-0005-0000-0000-000064000000}"/>
    <cellStyle name="$l1 No 5" xfId="189" xr:uid="{00000000-0005-0000-0000-000065000000}"/>
    <cellStyle name="$l1 No 6" xfId="190" xr:uid="{00000000-0005-0000-0000-000066000000}"/>
    <cellStyle name="$l1 No 7" xfId="191" xr:uid="{00000000-0005-0000-0000-000067000000}"/>
    <cellStyle name="$l1 No 8" xfId="192" xr:uid="{00000000-0005-0000-0000-000068000000}"/>
    <cellStyle name="$l1 No 9" xfId="193" xr:uid="{00000000-0005-0000-0000-000069000000}"/>
    <cellStyle name="$l1 Row" xfId="194" xr:uid="{00000000-0005-0000-0000-00006A000000}"/>
    <cellStyle name="$l2 %" xfId="195" xr:uid="{00000000-0005-0000-0000-00006B000000}"/>
    <cellStyle name="$l2 % 2" xfId="196" xr:uid="{00000000-0005-0000-0000-00006C000000}"/>
    <cellStyle name="$l2 % 2 2" xfId="197" xr:uid="{00000000-0005-0000-0000-00006D000000}"/>
    <cellStyle name="$l2 % 2 3" xfId="198" xr:uid="{00000000-0005-0000-0000-00006E000000}"/>
    <cellStyle name="$l2 % 2 4" xfId="199" xr:uid="{00000000-0005-0000-0000-00006F000000}"/>
    <cellStyle name="$l2 % 2 5" xfId="200" xr:uid="{00000000-0005-0000-0000-000070000000}"/>
    <cellStyle name="$l2 % 2 6" xfId="201" xr:uid="{00000000-0005-0000-0000-000071000000}"/>
    <cellStyle name="$l2 % 2 7" xfId="202" xr:uid="{00000000-0005-0000-0000-000072000000}"/>
    <cellStyle name="$l2 % 3" xfId="203" xr:uid="{00000000-0005-0000-0000-000073000000}"/>
    <cellStyle name="$l2 % 3 2" xfId="204" xr:uid="{00000000-0005-0000-0000-000074000000}"/>
    <cellStyle name="$l2 % 3 3" xfId="205" xr:uid="{00000000-0005-0000-0000-000075000000}"/>
    <cellStyle name="$l2 % 3 4" xfId="206" xr:uid="{00000000-0005-0000-0000-000076000000}"/>
    <cellStyle name="$l2 % 3 5" xfId="207" xr:uid="{00000000-0005-0000-0000-000077000000}"/>
    <cellStyle name="$l2 % 3 6" xfId="208" xr:uid="{00000000-0005-0000-0000-000078000000}"/>
    <cellStyle name="$l2 % 3 7" xfId="209" xr:uid="{00000000-0005-0000-0000-000079000000}"/>
    <cellStyle name="$l2 % 4" xfId="210" xr:uid="{00000000-0005-0000-0000-00007A000000}"/>
    <cellStyle name="$l2 % 5" xfId="211" xr:uid="{00000000-0005-0000-0000-00007B000000}"/>
    <cellStyle name="$l2 % 6" xfId="212" xr:uid="{00000000-0005-0000-0000-00007C000000}"/>
    <cellStyle name="$l2 % 7" xfId="213" xr:uid="{00000000-0005-0000-0000-00007D000000}"/>
    <cellStyle name="$l2 % 8" xfId="214" xr:uid="{00000000-0005-0000-0000-00007E000000}"/>
    <cellStyle name="$l2 % 9" xfId="215" xr:uid="{00000000-0005-0000-0000-00007F000000}"/>
    <cellStyle name="$l2 No" xfId="216" xr:uid="{00000000-0005-0000-0000-000080000000}"/>
    <cellStyle name="$l2 No 2" xfId="217" xr:uid="{00000000-0005-0000-0000-000081000000}"/>
    <cellStyle name="$l2 No 2 2" xfId="218" xr:uid="{00000000-0005-0000-0000-000082000000}"/>
    <cellStyle name="$l2 No 2 3" xfId="219" xr:uid="{00000000-0005-0000-0000-000083000000}"/>
    <cellStyle name="$l2 No 2 4" xfId="220" xr:uid="{00000000-0005-0000-0000-000084000000}"/>
    <cellStyle name="$l2 No 2 5" xfId="221" xr:uid="{00000000-0005-0000-0000-000085000000}"/>
    <cellStyle name="$l2 No 2 6" xfId="222" xr:uid="{00000000-0005-0000-0000-000086000000}"/>
    <cellStyle name="$l2 No 2 7" xfId="223" xr:uid="{00000000-0005-0000-0000-000087000000}"/>
    <cellStyle name="$l2 No 3" xfId="224" xr:uid="{00000000-0005-0000-0000-000088000000}"/>
    <cellStyle name="$l2 No 3 2" xfId="225" xr:uid="{00000000-0005-0000-0000-000089000000}"/>
    <cellStyle name="$l2 No 3 3" xfId="226" xr:uid="{00000000-0005-0000-0000-00008A000000}"/>
    <cellStyle name="$l2 No 3 4" xfId="227" xr:uid="{00000000-0005-0000-0000-00008B000000}"/>
    <cellStyle name="$l2 No 3 5" xfId="228" xr:uid="{00000000-0005-0000-0000-00008C000000}"/>
    <cellStyle name="$l2 No 3 6" xfId="229" xr:uid="{00000000-0005-0000-0000-00008D000000}"/>
    <cellStyle name="$l2 No 3 7" xfId="230" xr:uid="{00000000-0005-0000-0000-00008E000000}"/>
    <cellStyle name="$l2 No 4" xfId="231" xr:uid="{00000000-0005-0000-0000-00008F000000}"/>
    <cellStyle name="$l2 No 5" xfId="232" xr:uid="{00000000-0005-0000-0000-000090000000}"/>
    <cellStyle name="$l2 No 6" xfId="233" xr:uid="{00000000-0005-0000-0000-000091000000}"/>
    <cellStyle name="$l2 No 7" xfId="234" xr:uid="{00000000-0005-0000-0000-000092000000}"/>
    <cellStyle name="$l2 No 8" xfId="235" xr:uid="{00000000-0005-0000-0000-000093000000}"/>
    <cellStyle name="$l2 No 9" xfId="236" xr:uid="{00000000-0005-0000-0000-000094000000}"/>
    <cellStyle name="$l2 Row" xfId="237" xr:uid="{00000000-0005-0000-0000-000095000000}"/>
    <cellStyle name="$l2 Row 10" xfId="238" xr:uid="{00000000-0005-0000-0000-000096000000}"/>
    <cellStyle name="$l2 Row 11" xfId="239" xr:uid="{00000000-0005-0000-0000-000097000000}"/>
    <cellStyle name="$l2 Row 2" xfId="240" xr:uid="{00000000-0005-0000-0000-000098000000}"/>
    <cellStyle name="$l2 Row 2 2" xfId="241" xr:uid="{00000000-0005-0000-0000-000099000000}"/>
    <cellStyle name="$l2 Row 2 3" xfId="242" xr:uid="{00000000-0005-0000-0000-00009A000000}"/>
    <cellStyle name="$l2 Row 2 4" xfId="243" xr:uid="{00000000-0005-0000-0000-00009B000000}"/>
    <cellStyle name="$l2 Row 2 5" xfId="244" xr:uid="{00000000-0005-0000-0000-00009C000000}"/>
    <cellStyle name="$l2 Row 2 6" xfId="245" xr:uid="{00000000-0005-0000-0000-00009D000000}"/>
    <cellStyle name="$l2 Row 2 7" xfId="246" xr:uid="{00000000-0005-0000-0000-00009E000000}"/>
    <cellStyle name="$l2 Row 2 8" xfId="247" xr:uid="{00000000-0005-0000-0000-00009F000000}"/>
    <cellStyle name="$l2 Row 3" xfId="248" xr:uid="{00000000-0005-0000-0000-0000A0000000}"/>
    <cellStyle name="$l2 Row 3 2" xfId="249" xr:uid="{00000000-0005-0000-0000-0000A1000000}"/>
    <cellStyle name="$l2 Row 3 3" xfId="250" xr:uid="{00000000-0005-0000-0000-0000A2000000}"/>
    <cellStyle name="$l2 Row 3 4" xfId="251" xr:uid="{00000000-0005-0000-0000-0000A3000000}"/>
    <cellStyle name="$l2 Row 3 5" xfId="252" xr:uid="{00000000-0005-0000-0000-0000A4000000}"/>
    <cellStyle name="$l2 Row 3 6" xfId="253" xr:uid="{00000000-0005-0000-0000-0000A5000000}"/>
    <cellStyle name="$l2 Row 3 7" xfId="254" xr:uid="{00000000-0005-0000-0000-0000A6000000}"/>
    <cellStyle name="$l2 Row 3 8" xfId="255" xr:uid="{00000000-0005-0000-0000-0000A7000000}"/>
    <cellStyle name="$l2 Row 4" xfId="256" xr:uid="{00000000-0005-0000-0000-0000A8000000}"/>
    <cellStyle name="$l2 Row 5" xfId="257" xr:uid="{00000000-0005-0000-0000-0000A9000000}"/>
    <cellStyle name="$l2 Row 6" xfId="258" xr:uid="{00000000-0005-0000-0000-0000AA000000}"/>
    <cellStyle name="$l2 Row 7" xfId="259" xr:uid="{00000000-0005-0000-0000-0000AB000000}"/>
    <cellStyle name="$l2 Row 8" xfId="260" xr:uid="{00000000-0005-0000-0000-0000AC000000}"/>
    <cellStyle name="$l2 Row 9" xfId="261" xr:uid="{00000000-0005-0000-0000-0000AD000000}"/>
    <cellStyle name="$u0 %" xfId="262" xr:uid="{00000000-0005-0000-0000-0000AE000000}"/>
    <cellStyle name="$u0 % 2" xfId="263" xr:uid="{00000000-0005-0000-0000-0000AF000000}"/>
    <cellStyle name="$u0 % 2 2" xfId="264" xr:uid="{00000000-0005-0000-0000-0000B0000000}"/>
    <cellStyle name="$u0 % 2 3" xfId="265" xr:uid="{00000000-0005-0000-0000-0000B1000000}"/>
    <cellStyle name="$u0 % 2 4" xfId="266" xr:uid="{00000000-0005-0000-0000-0000B2000000}"/>
    <cellStyle name="$u0 % 2 5" xfId="267" xr:uid="{00000000-0005-0000-0000-0000B3000000}"/>
    <cellStyle name="$u0 % 2 6" xfId="268" xr:uid="{00000000-0005-0000-0000-0000B4000000}"/>
    <cellStyle name="$u0 % 2 7" xfId="269" xr:uid="{00000000-0005-0000-0000-0000B5000000}"/>
    <cellStyle name="$u0 % 3" xfId="270" xr:uid="{00000000-0005-0000-0000-0000B6000000}"/>
    <cellStyle name="$u0 % 3 2" xfId="271" xr:uid="{00000000-0005-0000-0000-0000B7000000}"/>
    <cellStyle name="$u0 % 3 3" xfId="272" xr:uid="{00000000-0005-0000-0000-0000B8000000}"/>
    <cellStyle name="$u0 % 3 4" xfId="273" xr:uid="{00000000-0005-0000-0000-0000B9000000}"/>
    <cellStyle name="$u0 % 3 5" xfId="274" xr:uid="{00000000-0005-0000-0000-0000BA000000}"/>
    <cellStyle name="$u0 % 3 6" xfId="275" xr:uid="{00000000-0005-0000-0000-0000BB000000}"/>
    <cellStyle name="$u0 % 3 7" xfId="276" xr:uid="{00000000-0005-0000-0000-0000BC000000}"/>
    <cellStyle name="$u0 % 4" xfId="277" xr:uid="{00000000-0005-0000-0000-0000BD000000}"/>
    <cellStyle name="$u0 % 5" xfId="278" xr:uid="{00000000-0005-0000-0000-0000BE000000}"/>
    <cellStyle name="$u0 % 6" xfId="279" xr:uid="{00000000-0005-0000-0000-0000BF000000}"/>
    <cellStyle name="$u0 % 7" xfId="280" xr:uid="{00000000-0005-0000-0000-0000C0000000}"/>
    <cellStyle name="$u0 % 8" xfId="281" xr:uid="{00000000-0005-0000-0000-0000C1000000}"/>
    <cellStyle name="$u0 % 9" xfId="282" xr:uid="{00000000-0005-0000-0000-0000C2000000}"/>
    <cellStyle name="$u0 No" xfId="283" xr:uid="{00000000-0005-0000-0000-0000C3000000}"/>
    <cellStyle name="$u0 No 2" xfId="284" xr:uid="{00000000-0005-0000-0000-0000C4000000}"/>
    <cellStyle name="$u0 No 2 2" xfId="285" xr:uid="{00000000-0005-0000-0000-0000C5000000}"/>
    <cellStyle name="$u0 No 2 3" xfId="286" xr:uid="{00000000-0005-0000-0000-0000C6000000}"/>
    <cellStyle name="$u0 No 2 4" xfId="287" xr:uid="{00000000-0005-0000-0000-0000C7000000}"/>
    <cellStyle name="$u0 No 2 5" xfId="288" xr:uid="{00000000-0005-0000-0000-0000C8000000}"/>
    <cellStyle name="$u0 No 2 6" xfId="289" xr:uid="{00000000-0005-0000-0000-0000C9000000}"/>
    <cellStyle name="$u0 No 2 7" xfId="290" xr:uid="{00000000-0005-0000-0000-0000CA000000}"/>
    <cellStyle name="$u0 No 3" xfId="291" xr:uid="{00000000-0005-0000-0000-0000CB000000}"/>
    <cellStyle name="$u0 No 3 2" xfId="292" xr:uid="{00000000-0005-0000-0000-0000CC000000}"/>
    <cellStyle name="$u0 No 3 3" xfId="293" xr:uid="{00000000-0005-0000-0000-0000CD000000}"/>
    <cellStyle name="$u0 No 3 4" xfId="294" xr:uid="{00000000-0005-0000-0000-0000CE000000}"/>
    <cellStyle name="$u0 No 3 5" xfId="295" xr:uid="{00000000-0005-0000-0000-0000CF000000}"/>
    <cellStyle name="$u0 No 3 6" xfId="296" xr:uid="{00000000-0005-0000-0000-0000D0000000}"/>
    <cellStyle name="$u0 No 3 7" xfId="297" xr:uid="{00000000-0005-0000-0000-0000D1000000}"/>
    <cellStyle name="$u0 No 4" xfId="298" xr:uid="{00000000-0005-0000-0000-0000D2000000}"/>
    <cellStyle name="$u0 No 5" xfId="299" xr:uid="{00000000-0005-0000-0000-0000D3000000}"/>
    <cellStyle name="$u0 No 6" xfId="300" xr:uid="{00000000-0005-0000-0000-0000D4000000}"/>
    <cellStyle name="$u0 No 7" xfId="301" xr:uid="{00000000-0005-0000-0000-0000D5000000}"/>
    <cellStyle name="$u0 No 8" xfId="302" xr:uid="{00000000-0005-0000-0000-0000D6000000}"/>
    <cellStyle name="$u0 No 9" xfId="303" xr:uid="{00000000-0005-0000-0000-0000D7000000}"/>
    <cellStyle name="[StdExit()]" xfId="304" xr:uid="{00000000-0005-0000-0000-0000D8000000}"/>
    <cellStyle name="_List1" xfId="305" xr:uid="{00000000-0005-0000-0000-0000D9000000}"/>
    <cellStyle name="’E‰Ý [0.00]_Region Orders (2)" xfId="306" xr:uid="{00000000-0005-0000-0000-0000DA000000}"/>
    <cellStyle name="’E‰Ý_Region Orders (2)" xfId="307" xr:uid="{00000000-0005-0000-0000-0000DB000000}"/>
    <cellStyle name="•WŹ€_Pacific Region P&amp;L" xfId="308" xr:uid="{00000000-0005-0000-0000-0000DC000000}"/>
    <cellStyle name="•WŹ_Pacific Region P&amp;L" xfId="309" xr:uid="{00000000-0005-0000-0000-0000DD000000}"/>
    <cellStyle name="20 % – Zvýraznění1 2" xfId="310" xr:uid="{00000000-0005-0000-0000-0000DE000000}"/>
    <cellStyle name="20 % – Zvýraznění2 2" xfId="311" xr:uid="{00000000-0005-0000-0000-0000DF000000}"/>
    <cellStyle name="20 % – Zvýraznění3 2" xfId="312" xr:uid="{00000000-0005-0000-0000-0000E0000000}"/>
    <cellStyle name="20 % – Zvýraznění4 2" xfId="313" xr:uid="{00000000-0005-0000-0000-0000E1000000}"/>
    <cellStyle name="20 % – Zvýraznění5 2" xfId="314" xr:uid="{00000000-0005-0000-0000-0000E2000000}"/>
    <cellStyle name="20 % – Zvýraznění6 2" xfId="315" xr:uid="{00000000-0005-0000-0000-0000E3000000}"/>
    <cellStyle name="40 % – Zvýraznění1 2" xfId="316" xr:uid="{00000000-0005-0000-0000-0000E4000000}"/>
    <cellStyle name="40 % – Zvýraznění2 2" xfId="317" xr:uid="{00000000-0005-0000-0000-0000E5000000}"/>
    <cellStyle name="40 % – Zvýraznění3 2" xfId="318" xr:uid="{00000000-0005-0000-0000-0000E6000000}"/>
    <cellStyle name="40 % – Zvýraznění4 2" xfId="319" xr:uid="{00000000-0005-0000-0000-0000E7000000}"/>
    <cellStyle name="40 % – Zvýraznění5 2" xfId="320" xr:uid="{00000000-0005-0000-0000-0000E8000000}"/>
    <cellStyle name="40 % – Zvýraznění6 2" xfId="321" xr:uid="{00000000-0005-0000-0000-0000E9000000}"/>
    <cellStyle name="60 % – Zvýraznění1 2" xfId="322" xr:uid="{00000000-0005-0000-0000-0000EA000000}"/>
    <cellStyle name="60 % – Zvýraznění2 2" xfId="323" xr:uid="{00000000-0005-0000-0000-0000EB000000}"/>
    <cellStyle name="60 % – Zvýraznění3 2" xfId="324" xr:uid="{00000000-0005-0000-0000-0000EC000000}"/>
    <cellStyle name="60 % – Zvýraznění4 2" xfId="325" xr:uid="{00000000-0005-0000-0000-0000ED000000}"/>
    <cellStyle name="60 % – Zvýraznění5 2" xfId="326" xr:uid="{00000000-0005-0000-0000-0000EE000000}"/>
    <cellStyle name="60 % – Zvýraznění6 2" xfId="327" xr:uid="{00000000-0005-0000-0000-0000EF000000}"/>
    <cellStyle name="Accent1 - 20%" xfId="328" xr:uid="{00000000-0005-0000-0000-0000F0000000}"/>
    <cellStyle name="Accent1 - 40%" xfId="329" xr:uid="{00000000-0005-0000-0000-0000F1000000}"/>
    <cellStyle name="Accent1 - 60%" xfId="330" xr:uid="{00000000-0005-0000-0000-0000F2000000}"/>
    <cellStyle name="Accent2 - 20%" xfId="331" xr:uid="{00000000-0005-0000-0000-0000F3000000}"/>
    <cellStyle name="Accent2 - 40%" xfId="332" xr:uid="{00000000-0005-0000-0000-0000F4000000}"/>
    <cellStyle name="Accent2 - 60%" xfId="333" xr:uid="{00000000-0005-0000-0000-0000F5000000}"/>
    <cellStyle name="Accent3 - 20%" xfId="334" xr:uid="{00000000-0005-0000-0000-0000F6000000}"/>
    <cellStyle name="Accent3 - 40%" xfId="335" xr:uid="{00000000-0005-0000-0000-0000F7000000}"/>
    <cellStyle name="Accent3 - 60%" xfId="336" xr:uid="{00000000-0005-0000-0000-0000F8000000}"/>
    <cellStyle name="Accent4 - 20%" xfId="337" xr:uid="{00000000-0005-0000-0000-0000F9000000}"/>
    <cellStyle name="Accent4 - 40%" xfId="338" xr:uid="{00000000-0005-0000-0000-0000FA000000}"/>
    <cellStyle name="Accent4 - 60%" xfId="339" xr:uid="{00000000-0005-0000-0000-0000FB000000}"/>
    <cellStyle name="Accent5 - 20%" xfId="340" xr:uid="{00000000-0005-0000-0000-0000FC000000}"/>
    <cellStyle name="Accent5 - 40%" xfId="341" xr:uid="{00000000-0005-0000-0000-0000FD000000}"/>
    <cellStyle name="Accent5 - 60%" xfId="342" xr:uid="{00000000-0005-0000-0000-0000FE000000}"/>
    <cellStyle name="Accent6 - 20%" xfId="343" xr:uid="{00000000-0005-0000-0000-0000FF000000}"/>
    <cellStyle name="Accent6 - 40%" xfId="344" xr:uid="{00000000-0005-0000-0000-000000010000}"/>
    <cellStyle name="Accent6 - 60%" xfId="345" xr:uid="{00000000-0005-0000-0000-000001010000}"/>
    <cellStyle name="AdminStyle" xfId="346" xr:uid="{00000000-0005-0000-0000-000002010000}"/>
    <cellStyle name="AdminStyle 2" xfId="347" xr:uid="{00000000-0005-0000-0000-000003010000}"/>
    <cellStyle name="AdminStyle 2 2" xfId="348" xr:uid="{00000000-0005-0000-0000-000004010000}"/>
    <cellStyle name="AdminStyle 2 3" xfId="349" xr:uid="{00000000-0005-0000-0000-000005010000}"/>
    <cellStyle name="AdminStyle 2 4" xfId="350" xr:uid="{00000000-0005-0000-0000-000006010000}"/>
    <cellStyle name="AdminStyle 2 5" xfId="351" xr:uid="{00000000-0005-0000-0000-000007010000}"/>
    <cellStyle name="AdminStyle 2 6" xfId="352" xr:uid="{00000000-0005-0000-0000-000008010000}"/>
    <cellStyle name="AdminStyle 2 7" xfId="353" xr:uid="{00000000-0005-0000-0000-000009010000}"/>
    <cellStyle name="AdminStyle 3" xfId="354" xr:uid="{00000000-0005-0000-0000-00000A010000}"/>
    <cellStyle name="AdminStyle 3 2" xfId="355" xr:uid="{00000000-0005-0000-0000-00000B010000}"/>
    <cellStyle name="AdminStyle 3 3" xfId="356" xr:uid="{00000000-0005-0000-0000-00000C010000}"/>
    <cellStyle name="AdminStyle 3 4" xfId="357" xr:uid="{00000000-0005-0000-0000-00000D010000}"/>
    <cellStyle name="AdminStyle 3 5" xfId="358" xr:uid="{00000000-0005-0000-0000-00000E010000}"/>
    <cellStyle name="AdminStyle 3 6" xfId="359" xr:uid="{00000000-0005-0000-0000-00000F010000}"/>
    <cellStyle name="AdminStyle 3 7" xfId="360" xr:uid="{00000000-0005-0000-0000-000010010000}"/>
    <cellStyle name="AdminStyle 4" xfId="361" xr:uid="{00000000-0005-0000-0000-000011010000}"/>
    <cellStyle name="AdminStyle 5" xfId="362" xr:uid="{00000000-0005-0000-0000-000012010000}"/>
    <cellStyle name="AdminStyle 6" xfId="363" xr:uid="{00000000-0005-0000-0000-000013010000}"/>
    <cellStyle name="AdminStyle 7" xfId="364" xr:uid="{00000000-0005-0000-0000-000014010000}"/>
    <cellStyle name="AdminStyle 8" xfId="365" xr:uid="{00000000-0005-0000-0000-000015010000}"/>
    <cellStyle name="AdminStyle 9" xfId="366" xr:uid="{00000000-0005-0000-0000-000016010000}"/>
    <cellStyle name="args.style" xfId="367" xr:uid="{00000000-0005-0000-0000-000017010000}"/>
    <cellStyle name="args.style 2" xfId="368" xr:uid="{00000000-0005-0000-0000-000018010000}"/>
    <cellStyle name="args.style 3" xfId="369" xr:uid="{00000000-0005-0000-0000-000019010000}"/>
    <cellStyle name="args.style_110310_Výkazy CEPS 10_13062011" xfId="370" xr:uid="{00000000-0005-0000-0000-00001A010000}"/>
    <cellStyle name="Calc Currency (0)" xfId="371" xr:uid="{00000000-0005-0000-0000-00001B010000}"/>
    <cellStyle name="Calc Currency (0) 2" xfId="372" xr:uid="{00000000-0005-0000-0000-00001C010000}"/>
    <cellStyle name="Calc Currency (0) 3" xfId="373" xr:uid="{00000000-0005-0000-0000-00001D010000}"/>
    <cellStyle name="Calc Currency (0)_110310_Výkazy CEPS 10_13062011" xfId="374" xr:uid="{00000000-0005-0000-0000-00001E010000}"/>
    <cellStyle name="cárkyd" xfId="375" xr:uid="{00000000-0005-0000-0000-00001F010000}"/>
    <cellStyle name="cary" xfId="376" xr:uid="{00000000-0005-0000-0000-000020010000}"/>
    <cellStyle name="cary 2" xfId="377" xr:uid="{00000000-0005-0000-0000-000021010000}"/>
    <cellStyle name="Celkem 2" xfId="58" xr:uid="{00000000-0005-0000-0000-000022010000}"/>
    <cellStyle name="Celkem 2 10" xfId="378" xr:uid="{00000000-0005-0000-0000-000023010000}"/>
    <cellStyle name="CELKEM 2 2" xfId="379" xr:uid="{00000000-0005-0000-0000-000024010000}"/>
    <cellStyle name="Celkem 2 2 2" xfId="380" xr:uid="{00000000-0005-0000-0000-000025010000}"/>
    <cellStyle name="Celkem 2 2 3" xfId="381" xr:uid="{00000000-0005-0000-0000-000026010000}"/>
    <cellStyle name="Celkem 2 2 4" xfId="382" xr:uid="{00000000-0005-0000-0000-000027010000}"/>
    <cellStyle name="Celkem 2 2 5" xfId="383" xr:uid="{00000000-0005-0000-0000-000028010000}"/>
    <cellStyle name="Celkem 2 2 6" xfId="384" xr:uid="{00000000-0005-0000-0000-000029010000}"/>
    <cellStyle name="Celkem 2 2 7" xfId="385" xr:uid="{00000000-0005-0000-0000-00002A010000}"/>
    <cellStyle name="Celkem 2 2 8" xfId="386" xr:uid="{00000000-0005-0000-0000-00002B010000}"/>
    <cellStyle name="Celkem 2 2 9" xfId="387" xr:uid="{00000000-0005-0000-0000-00002C010000}"/>
    <cellStyle name="CELKEM 2 3" xfId="388" xr:uid="{00000000-0005-0000-0000-00002D010000}"/>
    <cellStyle name="Celkem 2 4" xfId="389" xr:uid="{00000000-0005-0000-0000-00002E010000}"/>
    <cellStyle name="Celkem 2 5" xfId="390" xr:uid="{00000000-0005-0000-0000-00002F010000}"/>
    <cellStyle name="Celkem 2 6" xfId="391" xr:uid="{00000000-0005-0000-0000-000030010000}"/>
    <cellStyle name="Celkem 2 7" xfId="392" xr:uid="{00000000-0005-0000-0000-000031010000}"/>
    <cellStyle name="Celkem 2 8" xfId="393" xr:uid="{00000000-0005-0000-0000-000032010000}"/>
    <cellStyle name="Celkem 2 9" xfId="394" xr:uid="{00000000-0005-0000-0000-000033010000}"/>
    <cellStyle name="CELKEM 3" xfId="395" xr:uid="{00000000-0005-0000-0000-000034010000}"/>
    <cellStyle name="ColLevel_1_BE (2)" xfId="396" xr:uid="{00000000-0005-0000-0000-000035010000}"/>
    <cellStyle name="Comma [0]_!!!GO" xfId="397" xr:uid="{00000000-0005-0000-0000-000036010000}"/>
    <cellStyle name="Comma_!!!GO" xfId="398" xr:uid="{00000000-0005-0000-0000-000037010000}"/>
    <cellStyle name="Copied" xfId="399" xr:uid="{00000000-0005-0000-0000-000038010000}"/>
    <cellStyle name="Copied 2" xfId="400" xr:uid="{00000000-0005-0000-0000-000039010000}"/>
    <cellStyle name="Copied 3" xfId="401" xr:uid="{00000000-0005-0000-0000-00003A010000}"/>
    <cellStyle name="Copied_110310_Výkazy CEPS 10_13062011" xfId="402" xr:uid="{00000000-0005-0000-0000-00003B010000}"/>
    <cellStyle name="COST1" xfId="403" xr:uid="{00000000-0005-0000-0000-00003C010000}"/>
    <cellStyle name="COST1 2" xfId="404" xr:uid="{00000000-0005-0000-0000-00003D010000}"/>
    <cellStyle name="COST1 3" xfId="405" xr:uid="{00000000-0005-0000-0000-00003E010000}"/>
    <cellStyle name="COST1_110310_Výkazy CEPS 10_13062011" xfId="406" xr:uid="{00000000-0005-0000-0000-00003F010000}"/>
    <cellStyle name="Currency [0]_!!!GO" xfId="407" xr:uid="{00000000-0005-0000-0000-000040010000}"/>
    <cellStyle name="Currency_!!!GO" xfId="408" xr:uid="{00000000-0005-0000-0000-000041010000}"/>
    <cellStyle name="ČÁRKA 2" xfId="409" xr:uid="{00000000-0005-0000-0000-000042010000}"/>
    <cellStyle name="ČÁRKA 2 2" xfId="410" xr:uid="{00000000-0005-0000-0000-000043010000}"/>
    <cellStyle name="ČÁRKA 2 3" xfId="411" xr:uid="{00000000-0005-0000-0000-000044010000}"/>
    <cellStyle name="ČEPS" xfId="412" xr:uid="{00000000-0005-0000-0000-000045010000}"/>
    <cellStyle name="ČEPS chybně" xfId="413" xr:uid="{00000000-0005-0000-0000-000046010000}"/>
    <cellStyle name="ČEPS neutrální" xfId="414" xr:uid="{00000000-0005-0000-0000-000047010000}"/>
    <cellStyle name="ČEPS správně" xfId="415" xr:uid="{00000000-0005-0000-0000-000048010000}"/>
    <cellStyle name="Date" xfId="416" xr:uid="{00000000-0005-0000-0000-000049010000}"/>
    <cellStyle name="Date 2" xfId="417" xr:uid="{00000000-0005-0000-0000-00004A010000}"/>
    <cellStyle name="Date 3" xfId="418" xr:uid="{00000000-0005-0000-0000-00004B010000}"/>
    <cellStyle name="Date_110310_Výkazy CEPS 10_13062011" xfId="419" xr:uid="{00000000-0005-0000-0000-00004C010000}"/>
    <cellStyle name="Datum" xfId="59" xr:uid="{00000000-0005-0000-0000-00004D010000}"/>
    <cellStyle name="DATUM 2" xfId="420" xr:uid="{00000000-0005-0000-0000-00004E010000}"/>
    <cellStyle name="DATUM 2 2" xfId="421" xr:uid="{00000000-0005-0000-0000-00004F010000}"/>
    <cellStyle name="DATUM 2 3" xfId="422" xr:uid="{00000000-0005-0000-0000-000050010000}"/>
    <cellStyle name="Emphasis 1" xfId="423" xr:uid="{00000000-0005-0000-0000-000051010000}"/>
    <cellStyle name="Emphasis 2" xfId="424" xr:uid="{00000000-0005-0000-0000-000052010000}"/>
    <cellStyle name="Emphasis 3" xfId="425" xr:uid="{00000000-0005-0000-0000-000053010000}"/>
    <cellStyle name="Entered" xfId="426" xr:uid="{00000000-0005-0000-0000-000054010000}"/>
    <cellStyle name="Entered 2" xfId="427" xr:uid="{00000000-0005-0000-0000-000055010000}"/>
    <cellStyle name="Entered 3" xfId="428" xr:uid="{00000000-0005-0000-0000-000056010000}"/>
    <cellStyle name="Entered_110310_Výkazy CEPS 10_13062011" xfId="429" xr:uid="{00000000-0005-0000-0000-000057010000}"/>
    <cellStyle name="F2" xfId="60" xr:uid="{00000000-0005-0000-0000-000058010000}"/>
    <cellStyle name="F3" xfId="61" xr:uid="{00000000-0005-0000-0000-000059010000}"/>
    <cellStyle name="F4" xfId="62" xr:uid="{00000000-0005-0000-0000-00005A010000}"/>
    <cellStyle name="F5" xfId="63" xr:uid="{00000000-0005-0000-0000-00005B010000}"/>
    <cellStyle name="F6" xfId="64" xr:uid="{00000000-0005-0000-0000-00005C010000}"/>
    <cellStyle name="F7" xfId="65" xr:uid="{00000000-0005-0000-0000-00005D010000}"/>
    <cellStyle name="F8" xfId="66" xr:uid="{00000000-0005-0000-0000-00005E010000}"/>
    <cellStyle name="Finanční0" xfId="67" xr:uid="{00000000-0005-0000-0000-00005F010000}"/>
    <cellStyle name="Fixed" xfId="13" xr:uid="{00000000-0005-0000-0000-000060010000}"/>
    <cellStyle name="Grey" xfId="430" xr:uid="{00000000-0005-0000-0000-000061010000}"/>
    <cellStyle name="Header1" xfId="431" xr:uid="{00000000-0005-0000-0000-000062010000}"/>
    <cellStyle name="Header2" xfId="432" xr:uid="{00000000-0005-0000-0000-000063010000}"/>
    <cellStyle name="Header2 2" xfId="433" xr:uid="{00000000-0005-0000-0000-000064010000}"/>
    <cellStyle name="Header2 2 2" xfId="434" xr:uid="{00000000-0005-0000-0000-000065010000}"/>
    <cellStyle name="Header2 2 3" xfId="435" xr:uid="{00000000-0005-0000-0000-000066010000}"/>
    <cellStyle name="Header2 2 4" xfId="436" xr:uid="{00000000-0005-0000-0000-000067010000}"/>
    <cellStyle name="Header2 2 5" xfId="437" xr:uid="{00000000-0005-0000-0000-000068010000}"/>
    <cellStyle name="Header2 2 6" xfId="438" xr:uid="{00000000-0005-0000-0000-000069010000}"/>
    <cellStyle name="Header2 2 7" xfId="439" xr:uid="{00000000-0005-0000-0000-00006A010000}"/>
    <cellStyle name="Header2 2 8" xfId="440" xr:uid="{00000000-0005-0000-0000-00006B010000}"/>
    <cellStyle name="Header2 3" xfId="441" xr:uid="{00000000-0005-0000-0000-00006C010000}"/>
    <cellStyle name="Header2 3 2" xfId="442" xr:uid="{00000000-0005-0000-0000-00006D010000}"/>
    <cellStyle name="Header2 3 3" xfId="443" xr:uid="{00000000-0005-0000-0000-00006E010000}"/>
    <cellStyle name="Header2 3 4" xfId="444" xr:uid="{00000000-0005-0000-0000-00006F010000}"/>
    <cellStyle name="Header2 3 5" xfId="445" xr:uid="{00000000-0005-0000-0000-000070010000}"/>
    <cellStyle name="Header2 3 6" xfId="446" xr:uid="{00000000-0005-0000-0000-000071010000}"/>
    <cellStyle name="Header2 3 7" xfId="447" xr:uid="{00000000-0005-0000-0000-000072010000}"/>
    <cellStyle name="Header2 3 8" xfId="448" xr:uid="{00000000-0005-0000-0000-000073010000}"/>
    <cellStyle name="HEADING1" xfId="68" xr:uid="{00000000-0005-0000-0000-000074010000}"/>
    <cellStyle name="HEADING2" xfId="69" xr:uid="{00000000-0005-0000-0000-000075010000}"/>
    <cellStyle name="Hypertextový odkaz 2" xfId="4" xr:uid="{00000000-0005-0000-0000-000076010000}"/>
    <cellStyle name="Chybně 2" xfId="449" xr:uid="{00000000-0005-0000-0000-000077010000}"/>
    <cellStyle name="Input [yellow]" xfId="450" xr:uid="{00000000-0005-0000-0000-000078010000}"/>
    <cellStyle name="Input [yellow] 2" xfId="451" xr:uid="{00000000-0005-0000-0000-000079010000}"/>
    <cellStyle name="Input [yellow] 2 10" xfId="452" xr:uid="{00000000-0005-0000-0000-00007A010000}"/>
    <cellStyle name="Input [yellow] 2 2" xfId="453" xr:uid="{00000000-0005-0000-0000-00007B010000}"/>
    <cellStyle name="Input [yellow] 2 3" xfId="454" xr:uid="{00000000-0005-0000-0000-00007C010000}"/>
    <cellStyle name="Input [yellow] 2 4" xfId="455" xr:uid="{00000000-0005-0000-0000-00007D010000}"/>
    <cellStyle name="Input [yellow] 2 5" xfId="456" xr:uid="{00000000-0005-0000-0000-00007E010000}"/>
    <cellStyle name="Input [yellow] 2 6" xfId="457" xr:uid="{00000000-0005-0000-0000-00007F010000}"/>
    <cellStyle name="Input [yellow] 2 7" xfId="458" xr:uid="{00000000-0005-0000-0000-000080010000}"/>
    <cellStyle name="Input [yellow] 2 8" xfId="459" xr:uid="{00000000-0005-0000-0000-000081010000}"/>
    <cellStyle name="Input [yellow] 2 9" xfId="460" xr:uid="{00000000-0005-0000-0000-000082010000}"/>
    <cellStyle name="Input [yellow] 3" xfId="461" xr:uid="{00000000-0005-0000-0000-000083010000}"/>
    <cellStyle name="Input [yellow] 3 10" xfId="462" xr:uid="{00000000-0005-0000-0000-000084010000}"/>
    <cellStyle name="Input [yellow] 3 2" xfId="463" xr:uid="{00000000-0005-0000-0000-000085010000}"/>
    <cellStyle name="Input [yellow] 3 3" xfId="464" xr:uid="{00000000-0005-0000-0000-000086010000}"/>
    <cellStyle name="Input [yellow] 3 4" xfId="465" xr:uid="{00000000-0005-0000-0000-000087010000}"/>
    <cellStyle name="Input [yellow] 3 5" xfId="466" xr:uid="{00000000-0005-0000-0000-000088010000}"/>
    <cellStyle name="Input [yellow] 3 6" xfId="467" xr:uid="{00000000-0005-0000-0000-000089010000}"/>
    <cellStyle name="Input [yellow] 3 7" xfId="468" xr:uid="{00000000-0005-0000-0000-00008A010000}"/>
    <cellStyle name="Input [yellow] 3 8" xfId="469" xr:uid="{00000000-0005-0000-0000-00008B010000}"/>
    <cellStyle name="Input [yellow] 3 9" xfId="470" xr:uid="{00000000-0005-0000-0000-00008C010000}"/>
    <cellStyle name="Input Cells" xfId="471" xr:uid="{00000000-0005-0000-0000-00008D010000}"/>
    <cellStyle name="Input Cells 2" xfId="472" xr:uid="{00000000-0005-0000-0000-00008E010000}"/>
    <cellStyle name="Input Cells 3" xfId="473" xr:uid="{00000000-0005-0000-0000-00008F010000}"/>
    <cellStyle name="Input Cells_110310_Výkazy CEPS 10_13062011" xfId="474" xr:uid="{00000000-0005-0000-0000-000090010000}"/>
    <cellStyle name="Kontrolní buňka 2" xfId="475" xr:uid="{00000000-0005-0000-0000-000091010000}"/>
    <cellStyle name="Linked Cells" xfId="476" xr:uid="{00000000-0005-0000-0000-000092010000}"/>
    <cellStyle name="Linked Cells 2" xfId="477" xr:uid="{00000000-0005-0000-0000-000093010000}"/>
    <cellStyle name="Linked Cells 3" xfId="478" xr:uid="{00000000-0005-0000-0000-000094010000}"/>
    <cellStyle name="Linked Cells_110310_Výkazy CEPS 10_13062011" xfId="479" xr:uid="{00000000-0005-0000-0000-000095010000}"/>
    <cellStyle name="MĚNA 2" xfId="480" xr:uid="{00000000-0005-0000-0000-000096010000}"/>
    <cellStyle name="MĚNA 2 2" xfId="481" xr:uid="{00000000-0005-0000-0000-000097010000}"/>
    <cellStyle name="MĚNA 2 3" xfId="482" xr:uid="{00000000-0005-0000-0000-000098010000}"/>
    <cellStyle name="Měna0" xfId="70" xr:uid="{00000000-0005-0000-0000-000099010000}"/>
    <cellStyle name="Milliers [0]_!!!GO" xfId="483" xr:uid="{00000000-0005-0000-0000-00009A010000}"/>
    <cellStyle name="Milliers_!!!GO" xfId="484" xr:uid="{00000000-0005-0000-0000-00009B010000}"/>
    <cellStyle name="Monétaire [0]_!!!GO" xfId="485" xr:uid="{00000000-0005-0000-0000-00009C010000}"/>
    <cellStyle name="Monétaire_!!!GO" xfId="486" xr:uid="{00000000-0005-0000-0000-00009D010000}"/>
    <cellStyle name="Nadpis 1 2" xfId="487" xr:uid="{00000000-0005-0000-0000-00009E010000}"/>
    <cellStyle name="Nadpis 2 2" xfId="488" xr:uid="{00000000-0005-0000-0000-00009F010000}"/>
    <cellStyle name="Nadpis 3 2" xfId="489" xr:uid="{00000000-0005-0000-0000-0000A0010000}"/>
    <cellStyle name="Nadpis 4 2" xfId="490" xr:uid="{00000000-0005-0000-0000-0000A1010000}"/>
    <cellStyle name="Nadpis malý" xfId="491" xr:uid="{00000000-0005-0000-0000-0000A2010000}"/>
    <cellStyle name="NADPIS1" xfId="492" xr:uid="{00000000-0005-0000-0000-0000A3010000}"/>
    <cellStyle name="NADPIS1 2" xfId="493" xr:uid="{00000000-0005-0000-0000-0000A4010000}"/>
    <cellStyle name="NADPIS1 2 2" xfId="494" xr:uid="{00000000-0005-0000-0000-0000A5010000}"/>
    <cellStyle name="NADPIS1 2 3" xfId="495" xr:uid="{00000000-0005-0000-0000-0000A6010000}"/>
    <cellStyle name="NADPIS2" xfId="496" xr:uid="{00000000-0005-0000-0000-0000A7010000}"/>
    <cellStyle name="NADPIS2 2" xfId="497" xr:uid="{00000000-0005-0000-0000-0000A8010000}"/>
    <cellStyle name="NADPIS2 2 2" xfId="498" xr:uid="{00000000-0005-0000-0000-0000A9010000}"/>
    <cellStyle name="NADPIS2 2 3" xfId="499" xr:uid="{00000000-0005-0000-0000-0000AA010000}"/>
    <cellStyle name="Název 2" xfId="500" xr:uid="{00000000-0005-0000-0000-0000AB010000}"/>
    <cellStyle name="Neutrální 2" xfId="501" xr:uid="{00000000-0005-0000-0000-0000AC010000}"/>
    <cellStyle name="Neutrální 3" xfId="502" xr:uid="{00000000-0005-0000-0000-0000AD010000}"/>
    <cellStyle name="New Times Roman" xfId="503" xr:uid="{00000000-0005-0000-0000-0000AE010000}"/>
    <cellStyle name="New Times Roman 2" xfId="504" xr:uid="{00000000-0005-0000-0000-0000AF010000}"/>
    <cellStyle name="New Times Roman 3" xfId="505" xr:uid="{00000000-0005-0000-0000-0000B0010000}"/>
    <cellStyle name="New Times Roman_110310_Výkazy CEPS 10_13062011" xfId="506" xr:uid="{00000000-0005-0000-0000-0000B1010000}"/>
    <cellStyle name="normal" xfId="71" xr:uid="{00000000-0005-0000-0000-0000B2010000}"/>
    <cellStyle name="Normal - Style1" xfId="507" xr:uid="{00000000-0005-0000-0000-0000B3010000}"/>
    <cellStyle name="Normal - Style1 2" xfId="508" xr:uid="{00000000-0005-0000-0000-0000B4010000}"/>
    <cellStyle name="Normal - Style1 3" xfId="509" xr:uid="{00000000-0005-0000-0000-0000B5010000}"/>
    <cellStyle name="Normal - Style1_110310_Výkazy CEPS 10_13062011" xfId="510" xr:uid="{00000000-0005-0000-0000-0000B6010000}"/>
    <cellStyle name="normal 2" xfId="511" xr:uid="{00000000-0005-0000-0000-0000B7010000}"/>
    <cellStyle name="Normal_!!!GO" xfId="512" xr:uid="{00000000-0005-0000-0000-0000B8010000}"/>
    <cellStyle name="Normální" xfId="0" builtinId="0"/>
    <cellStyle name="Normální 10" xfId="72" xr:uid="{00000000-0005-0000-0000-0000BA010000}"/>
    <cellStyle name="Normální 10 2" xfId="513" xr:uid="{00000000-0005-0000-0000-0000BB010000}"/>
    <cellStyle name="Normální 11" xfId="73" xr:uid="{00000000-0005-0000-0000-0000BC010000}"/>
    <cellStyle name="Normální 11 2" xfId="514" xr:uid="{00000000-0005-0000-0000-0000BD010000}"/>
    <cellStyle name="Normální 11 3" xfId="515" xr:uid="{00000000-0005-0000-0000-0000BE010000}"/>
    <cellStyle name="Normální 11 4" xfId="516" xr:uid="{00000000-0005-0000-0000-0000BF010000}"/>
    <cellStyle name="Normální 11 5" xfId="517" xr:uid="{00000000-0005-0000-0000-0000C0010000}"/>
    <cellStyle name="Normální 11 6" xfId="518" xr:uid="{00000000-0005-0000-0000-0000C1010000}"/>
    <cellStyle name="Normální 12" xfId="74" xr:uid="{00000000-0005-0000-0000-0000C2010000}"/>
    <cellStyle name="Normální 12 2" xfId="519" xr:uid="{00000000-0005-0000-0000-0000C3010000}"/>
    <cellStyle name="Normální 12 3" xfId="1539" xr:uid="{EC41200C-39F2-41F2-929E-0094D727D8BB}"/>
    <cellStyle name="Normální 13" xfId="520" xr:uid="{00000000-0005-0000-0000-0000C4010000}"/>
    <cellStyle name="Normální 13 2" xfId="521" xr:uid="{00000000-0005-0000-0000-0000C5010000}"/>
    <cellStyle name="Normální 14" xfId="522" xr:uid="{00000000-0005-0000-0000-0000C6010000}"/>
    <cellStyle name="Normální 14 2" xfId="523" xr:uid="{00000000-0005-0000-0000-0000C7010000}"/>
    <cellStyle name="Normální 15" xfId="524" xr:uid="{00000000-0005-0000-0000-0000C8010000}"/>
    <cellStyle name="Normální 15 2" xfId="525" xr:uid="{00000000-0005-0000-0000-0000C9010000}"/>
    <cellStyle name="Normální 16" xfId="526" xr:uid="{00000000-0005-0000-0000-0000CA010000}"/>
    <cellStyle name="Normální 17" xfId="527" xr:uid="{00000000-0005-0000-0000-0000CB010000}"/>
    <cellStyle name="Normální 18" xfId="528" xr:uid="{00000000-0005-0000-0000-0000CC010000}"/>
    <cellStyle name="Normální 19" xfId="1536" xr:uid="{00000000-0005-0000-0000-0000CD010000}"/>
    <cellStyle name="Normální 19 2" xfId="1537" xr:uid="{00000000-0005-0000-0000-0000CE010000}"/>
    <cellStyle name="Normální 19 3" xfId="1538" xr:uid="{FC2DA9EE-F984-412E-A44C-5D4015995987}"/>
    <cellStyle name="Normální 2" xfId="2" xr:uid="{00000000-0005-0000-0000-0000CF010000}"/>
    <cellStyle name="Normální 2 2" xfId="14" xr:uid="{00000000-0005-0000-0000-0000D0010000}"/>
    <cellStyle name="Normální 2 2 2" xfId="15" xr:uid="{00000000-0005-0000-0000-0000D1010000}"/>
    <cellStyle name="Normální 2 2 3" xfId="529" xr:uid="{00000000-0005-0000-0000-0000D2010000}"/>
    <cellStyle name="Normální 2 2 4" xfId="530" xr:uid="{00000000-0005-0000-0000-0000D3010000}"/>
    <cellStyle name="Normální 2 3" xfId="20" xr:uid="{00000000-0005-0000-0000-0000D4010000}"/>
    <cellStyle name="normální 2 4" xfId="531" xr:uid="{00000000-0005-0000-0000-0000D5010000}"/>
    <cellStyle name="Normální 2 5" xfId="532" xr:uid="{00000000-0005-0000-0000-0000D6010000}"/>
    <cellStyle name="Normální 2 6" xfId="533" xr:uid="{00000000-0005-0000-0000-0000D7010000}"/>
    <cellStyle name="Normální 2 7" xfId="1535" xr:uid="{00000000-0005-0000-0000-0000D8010000}"/>
    <cellStyle name="normální 2_120301 Výkazy PDS 11" xfId="534" xr:uid="{00000000-0005-0000-0000-0000D9010000}"/>
    <cellStyle name="Normální 3" xfId="5" xr:uid="{00000000-0005-0000-0000-0000DA010000}"/>
    <cellStyle name="Normální 3 2" xfId="535" xr:uid="{00000000-0005-0000-0000-0000DB010000}"/>
    <cellStyle name="Normální 3 2 2" xfId="536" xr:uid="{00000000-0005-0000-0000-0000DC010000}"/>
    <cellStyle name="normální 3 3" xfId="537" xr:uid="{00000000-0005-0000-0000-0000DD010000}"/>
    <cellStyle name="Normální 3 4" xfId="538" xr:uid="{00000000-0005-0000-0000-0000DE010000}"/>
    <cellStyle name="Normální 3 5" xfId="539" xr:uid="{00000000-0005-0000-0000-0000DF010000}"/>
    <cellStyle name="Normální 4" xfId="6" xr:uid="{00000000-0005-0000-0000-0000E0010000}"/>
    <cellStyle name="Normální 4 2" xfId="75" xr:uid="{00000000-0005-0000-0000-0000E1010000}"/>
    <cellStyle name="Normální 4 2 2" xfId="540" xr:uid="{00000000-0005-0000-0000-0000E2010000}"/>
    <cellStyle name="Normální 4 2 3" xfId="541" xr:uid="{00000000-0005-0000-0000-0000E3010000}"/>
    <cellStyle name="Normální 5" xfId="16" xr:uid="{00000000-0005-0000-0000-0000E4010000}"/>
    <cellStyle name="Normální 5 2" xfId="17" xr:uid="{00000000-0005-0000-0000-0000E5010000}"/>
    <cellStyle name="Normální 5 2 2" xfId="76" xr:uid="{00000000-0005-0000-0000-0000E6010000}"/>
    <cellStyle name="Normální 5 3" xfId="19" xr:uid="{00000000-0005-0000-0000-0000E7010000}"/>
    <cellStyle name="Normální 5 4" xfId="77" xr:uid="{00000000-0005-0000-0000-0000E8010000}"/>
    <cellStyle name="Normální 6" xfId="18" xr:uid="{00000000-0005-0000-0000-0000E9010000}"/>
    <cellStyle name="Normální 6 2" xfId="78" xr:uid="{00000000-0005-0000-0000-0000EA010000}"/>
    <cellStyle name="Normální 6 3" xfId="542" xr:uid="{00000000-0005-0000-0000-0000EB010000}"/>
    <cellStyle name="Normální 7" xfId="21" xr:uid="{00000000-0005-0000-0000-0000EC010000}"/>
    <cellStyle name="Normální 7 2" xfId="57" xr:uid="{00000000-0005-0000-0000-0000ED010000}"/>
    <cellStyle name="Normální 7 3" xfId="79" xr:uid="{00000000-0005-0000-0000-0000EE010000}"/>
    <cellStyle name="Normální 8" xfId="22" xr:uid="{00000000-0005-0000-0000-0000EF010000}"/>
    <cellStyle name="Normální 8 2" xfId="80" xr:uid="{00000000-0005-0000-0000-0000F0010000}"/>
    <cellStyle name="Normální 9" xfId="23" xr:uid="{00000000-0005-0000-0000-0000F1010000}"/>
    <cellStyle name="Normální 9 2" xfId="81" xr:uid="{00000000-0005-0000-0000-0000F2010000}"/>
    <cellStyle name="Normální 9 3" xfId="543" xr:uid="{00000000-0005-0000-0000-0000F3010000}"/>
    <cellStyle name="Normální 91" xfId="544" xr:uid="{00000000-0005-0000-0000-0000F4010000}"/>
    <cellStyle name="O…‹aO‚e [0.00]_Region Orders (2)" xfId="545" xr:uid="{00000000-0005-0000-0000-0000F5010000}"/>
    <cellStyle name="O…‹aO‚e_Region Orders (2)" xfId="546" xr:uid="{00000000-0005-0000-0000-0000F6010000}"/>
    <cellStyle name="per.style" xfId="547" xr:uid="{00000000-0005-0000-0000-0000F7010000}"/>
    <cellStyle name="per.style 2" xfId="548" xr:uid="{00000000-0005-0000-0000-0000F8010000}"/>
    <cellStyle name="per.style 3" xfId="549" xr:uid="{00000000-0005-0000-0000-0000F9010000}"/>
    <cellStyle name="per.style_110310_Výkazy CEPS 10_13062011" xfId="550" xr:uid="{00000000-0005-0000-0000-0000FA010000}"/>
    <cellStyle name="Percent [2]" xfId="551" xr:uid="{00000000-0005-0000-0000-0000FB010000}"/>
    <cellStyle name="Percent [2] 2" xfId="552" xr:uid="{00000000-0005-0000-0000-0000FC010000}"/>
    <cellStyle name="Percent [2] 3" xfId="553" xr:uid="{00000000-0005-0000-0000-0000FD010000}"/>
    <cellStyle name="Pevný" xfId="82" xr:uid="{00000000-0005-0000-0000-0000FE010000}"/>
    <cellStyle name="PEVNÝ 2" xfId="554" xr:uid="{00000000-0005-0000-0000-0000FF010000}"/>
    <cellStyle name="PEVNÝ 2 2" xfId="555" xr:uid="{00000000-0005-0000-0000-000000020000}"/>
    <cellStyle name="PEVNÝ 2 3" xfId="556" xr:uid="{00000000-0005-0000-0000-000001020000}"/>
    <cellStyle name="Poznámka 2" xfId="557" xr:uid="{00000000-0005-0000-0000-000002020000}"/>
    <cellStyle name="Poznámka 2 10" xfId="558" xr:uid="{00000000-0005-0000-0000-000003020000}"/>
    <cellStyle name="Poznámka 2 11" xfId="559" xr:uid="{00000000-0005-0000-0000-000004020000}"/>
    <cellStyle name="Poznámka 2 12" xfId="560" xr:uid="{00000000-0005-0000-0000-000005020000}"/>
    <cellStyle name="Poznámka 2 2" xfId="561" xr:uid="{00000000-0005-0000-0000-000006020000}"/>
    <cellStyle name="Poznámka 2 2 10" xfId="562" xr:uid="{00000000-0005-0000-0000-000007020000}"/>
    <cellStyle name="Poznámka 2 2 2" xfId="563" xr:uid="{00000000-0005-0000-0000-000008020000}"/>
    <cellStyle name="Poznámka 2 2 3" xfId="564" xr:uid="{00000000-0005-0000-0000-000009020000}"/>
    <cellStyle name="Poznámka 2 2 4" xfId="565" xr:uid="{00000000-0005-0000-0000-00000A020000}"/>
    <cellStyle name="Poznámka 2 2 5" xfId="566" xr:uid="{00000000-0005-0000-0000-00000B020000}"/>
    <cellStyle name="Poznámka 2 2 6" xfId="567" xr:uid="{00000000-0005-0000-0000-00000C020000}"/>
    <cellStyle name="Poznámka 2 2 7" xfId="568" xr:uid="{00000000-0005-0000-0000-00000D020000}"/>
    <cellStyle name="Poznámka 2 2 8" xfId="569" xr:uid="{00000000-0005-0000-0000-00000E020000}"/>
    <cellStyle name="Poznámka 2 2 9" xfId="570" xr:uid="{00000000-0005-0000-0000-00000F020000}"/>
    <cellStyle name="Poznámka 2 3" xfId="571" xr:uid="{00000000-0005-0000-0000-000010020000}"/>
    <cellStyle name="Poznámka 2 3 10" xfId="572" xr:uid="{00000000-0005-0000-0000-000011020000}"/>
    <cellStyle name="Poznámka 2 3 2" xfId="573" xr:uid="{00000000-0005-0000-0000-000012020000}"/>
    <cellStyle name="Poznámka 2 3 3" xfId="574" xr:uid="{00000000-0005-0000-0000-000013020000}"/>
    <cellStyle name="Poznámka 2 3 4" xfId="575" xr:uid="{00000000-0005-0000-0000-000014020000}"/>
    <cellStyle name="Poznámka 2 3 5" xfId="576" xr:uid="{00000000-0005-0000-0000-000015020000}"/>
    <cellStyle name="Poznámka 2 3 6" xfId="577" xr:uid="{00000000-0005-0000-0000-000016020000}"/>
    <cellStyle name="Poznámka 2 3 7" xfId="578" xr:uid="{00000000-0005-0000-0000-000017020000}"/>
    <cellStyle name="Poznámka 2 3 8" xfId="579" xr:uid="{00000000-0005-0000-0000-000018020000}"/>
    <cellStyle name="Poznámka 2 3 9" xfId="580" xr:uid="{00000000-0005-0000-0000-000019020000}"/>
    <cellStyle name="Poznámka 2 4" xfId="581" xr:uid="{00000000-0005-0000-0000-00001A020000}"/>
    <cellStyle name="Poznámka 2 5" xfId="582" xr:uid="{00000000-0005-0000-0000-00001B020000}"/>
    <cellStyle name="Poznámka 2 6" xfId="583" xr:uid="{00000000-0005-0000-0000-00001C020000}"/>
    <cellStyle name="Poznámka 2 7" xfId="584" xr:uid="{00000000-0005-0000-0000-00001D020000}"/>
    <cellStyle name="Poznámka 2 8" xfId="585" xr:uid="{00000000-0005-0000-0000-00001E020000}"/>
    <cellStyle name="Poznámka 2 9" xfId="586" xr:uid="{00000000-0005-0000-0000-00001F020000}"/>
    <cellStyle name="pricing" xfId="587" xr:uid="{00000000-0005-0000-0000-000020020000}"/>
    <cellStyle name="pricing 2" xfId="588" xr:uid="{00000000-0005-0000-0000-000021020000}"/>
    <cellStyle name="procent 2" xfId="589" xr:uid="{00000000-0005-0000-0000-000022020000}"/>
    <cellStyle name="procent 2 2" xfId="590" xr:uid="{00000000-0005-0000-0000-000023020000}"/>
    <cellStyle name="Procenta" xfId="1" builtinId="5"/>
    <cellStyle name="Procenta 2" xfId="7" xr:uid="{00000000-0005-0000-0000-000025020000}"/>
    <cellStyle name="Procenta 2 2" xfId="3" xr:uid="{00000000-0005-0000-0000-000026020000}"/>
    <cellStyle name="Procenta 2 3" xfId="83" xr:uid="{00000000-0005-0000-0000-000027020000}"/>
    <cellStyle name="Procenta 2 4" xfId="591" xr:uid="{00000000-0005-0000-0000-000028020000}"/>
    <cellStyle name="Procenta 2 5" xfId="592" xr:uid="{00000000-0005-0000-0000-000029020000}"/>
    <cellStyle name="Procenta 3" xfId="84" xr:uid="{00000000-0005-0000-0000-00002A020000}"/>
    <cellStyle name="Procenta 3 2" xfId="85" xr:uid="{00000000-0005-0000-0000-00002B020000}"/>
    <cellStyle name="Procenta 4" xfId="593" xr:uid="{00000000-0005-0000-0000-00002C020000}"/>
    <cellStyle name="Propojená buňka 2" xfId="594" xr:uid="{00000000-0005-0000-0000-00002D020000}"/>
    <cellStyle name="PSChar" xfId="595" xr:uid="{00000000-0005-0000-0000-00002E020000}"/>
    <cellStyle name="PSChar 2" xfId="596" xr:uid="{00000000-0005-0000-0000-00002F020000}"/>
    <cellStyle name="PSChar 3" xfId="597" xr:uid="{00000000-0005-0000-0000-000030020000}"/>
    <cellStyle name="RevList" xfId="598" xr:uid="{00000000-0005-0000-0000-000031020000}"/>
    <cellStyle name="RevList 2" xfId="599" xr:uid="{00000000-0005-0000-0000-000032020000}"/>
    <cellStyle name="RevList 3" xfId="600" xr:uid="{00000000-0005-0000-0000-000033020000}"/>
    <cellStyle name="RevList_110310_Výkazy CEPS 10_13062011" xfId="601" xr:uid="{00000000-0005-0000-0000-000034020000}"/>
    <cellStyle name="RowLevel_1_BE (2)" xfId="602" xr:uid="{00000000-0005-0000-0000-000035020000}"/>
    <cellStyle name="SAPBEXaggData" xfId="8" xr:uid="{00000000-0005-0000-0000-000036020000}"/>
    <cellStyle name="SAPBEXaggData 10" xfId="603" xr:uid="{00000000-0005-0000-0000-000037020000}"/>
    <cellStyle name="SAPBEXaggData 11" xfId="604" xr:uid="{00000000-0005-0000-0000-000038020000}"/>
    <cellStyle name="SAPBEXaggData 2" xfId="605" xr:uid="{00000000-0005-0000-0000-000039020000}"/>
    <cellStyle name="SAPBEXaggData 2 10" xfId="606" xr:uid="{00000000-0005-0000-0000-00003A020000}"/>
    <cellStyle name="SAPBEXaggData 2 11" xfId="607" xr:uid="{00000000-0005-0000-0000-00003B020000}"/>
    <cellStyle name="SAPBEXaggData 2 2" xfId="608" xr:uid="{00000000-0005-0000-0000-00003C020000}"/>
    <cellStyle name="SAPBEXaggData 2 3" xfId="609" xr:uid="{00000000-0005-0000-0000-00003D020000}"/>
    <cellStyle name="SAPBEXaggData 2 4" xfId="610" xr:uid="{00000000-0005-0000-0000-00003E020000}"/>
    <cellStyle name="SAPBEXaggData 2 5" xfId="611" xr:uid="{00000000-0005-0000-0000-00003F020000}"/>
    <cellStyle name="SAPBEXaggData 2 6" xfId="612" xr:uid="{00000000-0005-0000-0000-000040020000}"/>
    <cellStyle name="SAPBEXaggData 2 7" xfId="613" xr:uid="{00000000-0005-0000-0000-000041020000}"/>
    <cellStyle name="SAPBEXaggData 2 8" xfId="614" xr:uid="{00000000-0005-0000-0000-000042020000}"/>
    <cellStyle name="SAPBEXaggData 2 9" xfId="615" xr:uid="{00000000-0005-0000-0000-000043020000}"/>
    <cellStyle name="SAPBEXaggData 3" xfId="616" xr:uid="{00000000-0005-0000-0000-000044020000}"/>
    <cellStyle name="SAPBEXaggData 4" xfId="617" xr:uid="{00000000-0005-0000-0000-000045020000}"/>
    <cellStyle name="SAPBEXaggData 5" xfId="618" xr:uid="{00000000-0005-0000-0000-000046020000}"/>
    <cellStyle name="SAPBEXaggData 6" xfId="619" xr:uid="{00000000-0005-0000-0000-000047020000}"/>
    <cellStyle name="SAPBEXaggData 7" xfId="620" xr:uid="{00000000-0005-0000-0000-000048020000}"/>
    <cellStyle name="SAPBEXaggData 8" xfId="621" xr:uid="{00000000-0005-0000-0000-000049020000}"/>
    <cellStyle name="SAPBEXaggData 9" xfId="622" xr:uid="{00000000-0005-0000-0000-00004A020000}"/>
    <cellStyle name="SAPBEXaggDataEmph" xfId="24" xr:uid="{00000000-0005-0000-0000-00004B020000}"/>
    <cellStyle name="SAPBEXaggDataEmph 10" xfId="623" xr:uid="{00000000-0005-0000-0000-00004C020000}"/>
    <cellStyle name="SAPBEXaggDataEmph 11" xfId="624" xr:uid="{00000000-0005-0000-0000-00004D020000}"/>
    <cellStyle name="SAPBEXaggDataEmph 12" xfId="625" xr:uid="{00000000-0005-0000-0000-00004E020000}"/>
    <cellStyle name="SAPBEXaggDataEmph 2" xfId="626" xr:uid="{00000000-0005-0000-0000-00004F020000}"/>
    <cellStyle name="SAPBEXaggDataEmph 2 10" xfId="627" xr:uid="{00000000-0005-0000-0000-000050020000}"/>
    <cellStyle name="SAPBEXaggDataEmph 2 2" xfId="628" xr:uid="{00000000-0005-0000-0000-000051020000}"/>
    <cellStyle name="SAPBEXaggDataEmph 2 3" xfId="629" xr:uid="{00000000-0005-0000-0000-000052020000}"/>
    <cellStyle name="SAPBEXaggDataEmph 2 4" xfId="630" xr:uid="{00000000-0005-0000-0000-000053020000}"/>
    <cellStyle name="SAPBEXaggDataEmph 2 5" xfId="631" xr:uid="{00000000-0005-0000-0000-000054020000}"/>
    <cellStyle name="SAPBEXaggDataEmph 2 6" xfId="632" xr:uid="{00000000-0005-0000-0000-000055020000}"/>
    <cellStyle name="SAPBEXaggDataEmph 2 7" xfId="633" xr:uid="{00000000-0005-0000-0000-000056020000}"/>
    <cellStyle name="SAPBEXaggDataEmph 2 8" xfId="634" xr:uid="{00000000-0005-0000-0000-000057020000}"/>
    <cellStyle name="SAPBEXaggDataEmph 2 9" xfId="635" xr:uid="{00000000-0005-0000-0000-000058020000}"/>
    <cellStyle name="SAPBEXaggDataEmph 3" xfId="636" xr:uid="{00000000-0005-0000-0000-000059020000}"/>
    <cellStyle name="SAPBEXaggDataEmph 4" xfId="637" xr:uid="{00000000-0005-0000-0000-00005A020000}"/>
    <cellStyle name="SAPBEXaggDataEmph 5" xfId="638" xr:uid="{00000000-0005-0000-0000-00005B020000}"/>
    <cellStyle name="SAPBEXaggDataEmph 6" xfId="639" xr:uid="{00000000-0005-0000-0000-00005C020000}"/>
    <cellStyle name="SAPBEXaggDataEmph 7" xfId="640" xr:uid="{00000000-0005-0000-0000-00005D020000}"/>
    <cellStyle name="SAPBEXaggDataEmph 8" xfId="641" xr:uid="{00000000-0005-0000-0000-00005E020000}"/>
    <cellStyle name="SAPBEXaggDataEmph 9" xfId="642" xr:uid="{00000000-0005-0000-0000-00005F020000}"/>
    <cellStyle name="SAPBEXaggItem" xfId="9" xr:uid="{00000000-0005-0000-0000-000060020000}"/>
    <cellStyle name="SAPBEXaggItem 10" xfId="643" xr:uid="{00000000-0005-0000-0000-000061020000}"/>
    <cellStyle name="SAPBEXaggItem 11" xfId="644" xr:uid="{00000000-0005-0000-0000-000062020000}"/>
    <cellStyle name="SAPBEXaggItem 2" xfId="645" xr:uid="{00000000-0005-0000-0000-000063020000}"/>
    <cellStyle name="SAPBEXaggItem 2 10" xfId="646" xr:uid="{00000000-0005-0000-0000-000064020000}"/>
    <cellStyle name="SAPBEXaggItem 2 11" xfId="647" xr:uid="{00000000-0005-0000-0000-000065020000}"/>
    <cellStyle name="SAPBEXaggItem 2 2" xfId="648" xr:uid="{00000000-0005-0000-0000-000066020000}"/>
    <cellStyle name="SAPBEXaggItem 2 3" xfId="649" xr:uid="{00000000-0005-0000-0000-000067020000}"/>
    <cellStyle name="SAPBEXaggItem 2 4" xfId="650" xr:uid="{00000000-0005-0000-0000-000068020000}"/>
    <cellStyle name="SAPBEXaggItem 2 5" xfId="651" xr:uid="{00000000-0005-0000-0000-000069020000}"/>
    <cellStyle name="SAPBEXaggItem 2 6" xfId="652" xr:uid="{00000000-0005-0000-0000-00006A020000}"/>
    <cellStyle name="SAPBEXaggItem 2 7" xfId="653" xr:uid="{00000000-0005-0000-0000-00006B020000}"/>
    <cellStyle name="SAPBEXaggItem 2 8" xfId="654" xr:uid="{00000000-0005-0000-0000-00006C020000}"/>
    <cellStyle name="SAPBEXaggItem 2 9" xfId="655" xr:uid="{00000000-0005-0000-0000-00006D020000}"/>
    <cellStyle name="SAPBEXaggItem 3" xfId="656" xr:uid="{00000000-0005-0000-0000-00006E020000}"/>
    <cellStyle name="SAPBEXaggItem 4" xfId="657" xr:uid="{00000000-0005-0000-0000-00006F020000}"/>
    <cellStyle name="SAPBEXaggItem 5" xfId="658" xr:uid="{00000000-0005-0000-0000-000070020000}"/>
    <cellStyle name="SAPBEXaggItem 6" xfId="659" xr:uid="{00000000-0005-0000-0000-000071020000}"/>
    <cellStyle name="SAPBEXaggItem 7" xfId="660" xr:uid="{00000000-0005-0000-0000-000072020000}"/>
    <cellStyle name="SAPBEXaggItem 8" xfId="661" xr:uid="{00000000-0005-0000-0000-000073020000}"/>
    <cellStyle name="SAPBEXaggItem 9" xfId="662" xr:uid="{00000000-0005-0000-0000-000074020000}"/>
    <cellStyle name="SAPBEXaggItemX" xfId="25" xr:uid="{00000000-0005-0000-0000-000075020000}"/>
    <cellStyle name="SAPBEXaggItemX 10" xfId="663" xr:uid="{00000000-0005-0000-0000-000076020000}"/>
    <cellStyle name="SAPBEXaggItemX 11" xfId="664" xr:uid="{00000000-0005-0000-0000-000077020000}"/>
    <cellStyle name="SAPBEXaggItemX 12" xfId="665" xr:uid="{00000000-0005-0000-0000-000078020000}"/>
    <cellStyle name="SAPBEXaggItemX 2" xfId="666" xr:uid="{00000000-0005-0000-0000-000079020000}"/>
    <cellStyle name="SAPBEXaggItemX 2 10" xfId="667" xr:uid="{00000000-0005-0000-0000-00007A020000}"/>
    <cellStyle name="SAPBEXaggItemX 2 2" xfId="668" xr:uid="{00000000-0005-0000-0000-00007B020000}"/>
    <cellStyle name="SAPBEXaggItemX 2 3" xfId="669" xr:uid="{00000000-0005-0000-0000-00007C020000}"/>
    <cellStyle name="SAPBEXaggItemX 2 4" xfId="670" xr:uid="{00000000-0005-0000-0000-00007D020000}"/>
    <cellStyle name="SAPBEXaggItemX 2 5" xfId="671" xr:uid="{00000000-0005-0000-0000-00007E020000}"/>
    <cellStyle name="SAPBEXaggItemX 2 6" xfId="672" xr:uid="{00000000-0005-0000-0000-00007F020000}"/>
    <cellStyle name="SAPBEXaggItemX 2 7" xfId="673" xr:uid="{00000000-0005-0000-0000-000080020000}"/>
    <cellStyle name="SAPBEXaggItemX 2 8" xfId="674" xr:uid="{00000000-0005-0000-0000-000081020000}"/>
    <cellStyle name="SAPBEXaggItemX 2 9" xfId="675" xr:uid="{00000000-0005-0000-0000-000082020000}"/>
    <cellStyle name="SAPBEXaggItemX 3" xfId="676" xr:uid="{00000000-0005-0000-0000-000083020000}"/>
    <cellStyle name="SAPBEXaggItemX 4" xfId="677" xr:uid="{00000000-0005-0000-0000-000084020000}"/>
    <cellStyle name="SAPBEXaggItemX 5" xfId="678" xr:uid="{00000000-0005-0000-0000-000085020000}"/>
    <cellStyle name="SAPBEXaggItemX 6" xfId="679" xr:uid="{00000000-0005-0000-0000-000086020000}"/>
    <cellStyle name="SAPBEXaggItemX 7" xfId="680" xr:uid="{00000000-0005-0000-0000-000087020000}"/>
    <cellStyle name="SAPBEXaggItemX 8" xfId="681" xr:uid="{00000000-0005-0000-0000-000088020000}"/>
    <cellStyle name="SAPBEXaggItemX 9" xfId="682" xr:uid="{00000000-0005-0000-0000-000089020000}"/>
    <cellStyle name="SAPBEXexcBad7" xfId="26" xr:uid="{00000000-0005-0000-0000-00008A020000}"/>
    <cellStyle name="SAPBEXexcBad7 10" xfId="683" xr:uid="{00000000-0005-0000-0000-00008B020000}"/>
    <cellStyle name="SAPBEXexcBad7 11" xfId="684" xr:uid="{00000000-0005-0000-0000-00008C020000}"/>
    <cellStyle name="SAPBEXexcBad7 12" xfId="685" xr:uid="{00000000-0005-0000-0000-00008D020000}"/>
    <cellStyle name="SAPBEXexcBad7 2" xfId="686" xr:uid="{00000000-0005-0000-0000-00008E020000}"/>
    <cellStyle name="SAPBEXexcBad7 2 10" xfId="687" xr:uid="{00000000-0005-0000-0000-00008F020000}"/>
    <cellStyle name="SAPBEXexcBad7 2 2" xfId="688" xr:uid="{00000000-0005-0000-0000-000090020000}"/>
    <cellStyle name="SAPBEXexcBad7 2 3" xfId="689" xr:uid="{00000000-0005-0000-0000-000091020000}"/>
    <cellStyle name="SAPBEXexcBad7 2 4" xfId="690" xr:uid="{00000000-0005-0000-0000-000092020000}"/>
    <cellStyle name="SAPBEXexcBad7 2 5" xfId="691" xr:uid="{00000000-0005-0000-0000-000093020000}"/>
    <cellStyle name="SAPBEXexcBad7 2 6" xfId="692" xr:uid="{00000000-0005-0000-0000-000094020000}"/>
    <cellStyle name="SAPBEXexcBad7 2 7" xfId="693" xr:uid="{00000000-0005-0000-0000-000095020000}"/>
    <cellStyle name="SAPBEXexcBad7 2 8" xfId="694" xr:uid="{00000000-0005-0000-0000-000096020000}"/>
    <cellStyle name="SAPBEXexcBad7 2 9" xfId="695" xr:uid="{00000000-0005-0000-0000-000097020000}"/>
    <cellStyle name="SAPBEXexcBad7 3" xfId="696" xr:uid="{00000000-0005-0000-0000-000098020000}"/>
    <cellStyle name="SAPBEXexcBad7 4" xfId="697" xr:uid="{00000000-0005-0000-0000-000099020000}"/>
    <cellStyle name="SAPBEXexcBad7 5" xfId="698" xr:uid="{00000000-0005-0000-0000-00009A020000}"/>
    <cellStyle name="SAPBEXexcBad7 6" xfId="699" xr:uid="{00000000-0005-0000-0000-00009B020000}"/>
    <cellStyle name="SAPBEXexcBad7 7" xfId="700" xr:uid="{00000000-0005-0000-0000-00009C020000}"/>
    <cellStyle name="SAPBEXexcBad7 8" xfId="701" xr:uid="{00000000-0005-0000-0000-00009D020000}"/>
    <cellStyle name="SAPBEXexcBad7 9" xfId="702" xr:uid="{00000000-0005-0000-0000-00009E020000}"/>
    <cellStyle name="SAPBEXexcBad8" xfId="27" xr:uid="{00000000-0005-0000-0000-00009F020000}"/>
    <cellStyle name="SAPBEXexcBad8 10" xfId="703" xr:uid="{00000000-0005-0000-0000-0000A0020000}"/>
    <cellStyle name="SAPBEXexcBad8 11" xfId="704" xr:uid="{00000000-0005-0000-0000-0000A1020000}"/>
    <cellStyle name="SAPBEXexcBad8 12" xfId="705" xr:uid="{00000000-0005-0000-0000-0000A2020000}"/>
    <cellStyle name="SAPBEXexcBad8 2" xfId="706" xr:uid="{00000000-0005-0000-0000-0000A3020000}"/>
    <cellStyle name="SAPBEXexcBad8 2 10" xfId="707" xr:uid="{00000000-0005-0000-0000-0000A4020000}"/>
    <cellStyle name="SAPBEXexcBad8 2 2" xfId="708" xr:uid="{00000000-0005-0000-0000-0000A5020000}"/>
    <cellStyle name="SAPBEXexcBad8 2 3" xfId="709" xr:uid="{00000000-0005-0000-0000-0000A6020000}"/>
    <cellStyle name="SAPBEXexcBad8 2 4" xfId="710" xr:uid="{00000000-0005-0000-0000-0000A7020000}"/>
    <cellStyle name="SAPBEXexcBad8 2 5" xfId="711" xr:uid="{00000000-0005-0000-0000-0000A8020000}"/>
    <cellStyle name="SAPBEXexcBad8 2 6" xfId="712" xr:uid="{00000000-0005-0000-0000-0000A9020000}"/>
    <cellStyle name="SAPBEXexcBad8 2 7" xfId="713" xr:uid="{00000000-0005-0000-0000-0000AA020000}"/>
    <cellStyle name="SAPBEXexcBad8 2 8" xfId="714" xr:uid="{00000000-0005-0000-0000-0000AB020000}"/>
    <cellStyle name="SAPBEXexcBad8 2 9" xfId="715" xr:uid="{00000000-0005-0000-0000-0000AC020000}"/>
    <cellStyle name="SAPBEXexcBad8 3" xfId="716" xr:uid="{00000000-0005-0000-0000-0000AD020000}"/>
    <cellStyle name="SAPBEXexcBad8 4" xfId="717" xr:uid="{00000000-0005-0000-0000-0000AE020000}"/>
    <cellStyle name="SAPBEXexcBad8 5" xfId="718" xr:uid="{00000000-0005-0000-0000-0000AF020000}"/>
    <cellStyle name="SAPBEXexcBad8 6" xfId="719" xr:uid="{00000000-0005-0000-0000-0000B0020000}"/>
    <cellStyle name="SAPBEXexcBad8 7" xfId="720" xr:uid="{00000000-0005-0000-0000-0000B1020000}"/>
    <cellStyle name="SAPBEXexcBad8 8" xfId="721" xr:uid="{00000000-0005-0000-0000-0000B2020000}"/>
    <cellStyle name="SAPBEXexcBad8 9" xfId="722" xr:uid="{00000000-0005-0000-0000-0000B3020000}"/>
    <cellStyle name="SAPBEXexcBad9" xfId="28" xr:uid="{00000000-0005-0000-0000-0000B4020000}"/>
    <cellStyle name="SAPBEXexcBad9 10" xfId="723" xr:uid="{00000000-0005-0000-0000-0000B5020000}"/>
    <cellStyle name="SAPBEXexcBad9 11" xfId="724" xr:uid="{00000000-0005-0000-0000-0000B6020000}"/>
    <cellStyle name="SAPBEXexcBad9 12" xfId="725" xr:uid="{00000000-0005-0000-0000-0000B7020000}"/>
    <cellStyle name="SAPBEXexcBad9 2" xfId="726" xr:uid="{00000000-0005-0000-0000-0000B8020000}"/>
    <cellStyle name="SAPBEXexcBad9 2 10" xfId="727" xr:uid="{00000000-0005-0000-0000-0000B9020000}"/>
    <cellStyle name="SAPBEXexcBad9 2 2" xfId="728" xr:uid="{00000000-0005-0000-0000-0000BA020000}"/>
    <cellStyle name="SAPBEXexcBad9 2 3" xfId="729" xr:uid="{00000000-0005-0000-0000-0000BB020000}"/>
    <cellStyle name="SAPBEXexcBad9 2 4" xfId="730" xr:uid="{00000000-0005-0000-0000-0000BC020000}"/>
    <cellStyle name="SAPBEXexcBad9 2 5" xfId="731" xr:uid="{00000000-0005-0000-0000-0000BD020000}"/>
    <cellStyle name="SAPBEXexcBad9 2 6" xfId="732" xr:uid="{00000000-0005-0000-0000-0000BE020000}"/>
    <cellStyle name="SAPBEXexcBad9 2 7" xfId="733" xr:uid="{00000000-0005-0000-0000-0000BF020000}"/>
    <cellStyle name="SAPBEXexcBad9 2 8" xfId="734" xr:uid="{00000000-0005-0000-0000-0000C0020000}"/>
    <cellStyle name="SAPBEXexcBad9 2 9" xfId="735" xr:uid="{00000000-0005-0000-0000-0000C1020000}"/>
    <cellStyle name="SAPBEXexcBad9 3" xfId="736" xr:uid="{00000000-0005-0000-0000-0000C2020000}"/>
    <cellStyle name="SAPBEXexcBad9 4" xfId="737" xr:uid="{00000000-0005-0000-0000-0000C3020000}"/>
    <cellStyle name="SAPBEXexcBad9 5" xfId="738" xr:uid="{00000000-0005-0000-0000-0000C4020000}"/>
    <cellStyle name="SAPBEXexcBad9 6" xfId="739" xr:uid="{00000000-0005-0000-0000-0000C5020000}"/>
    <cellStyle name="SAPBEXexcBad9 7" xfId="740" xr:uid="{00000000-0005-0000-0000-0000C6020000}"/>
    <cellStyle name="SAPBEXexcBad9 8" xfId="741" xr:uid="{00000000-0005-0000-0000-0000C7020000}"/>
    <cellStyle name="SAPBEXexcBad9 9" xfId="742" xr:uid="{00000000-0005-0000-0000-0000C8020000}"/>
    <cellStyle name="SAPBEXexcCritical4" xfId="29" xr:uid="{00000000-0005-0000-0000-0000C9020000}"/>
    <cellStyle name="SAPBEXexcCritical4 10" xfId="743" xr:uid="{00000000-0005-0000-0000-0000CA020000}"/>
    <cellStyle name="SAPBEXexcCritical4 11" xfId="744" xr:uid="{00000000-0005-0000-0000-0000CB020000}"/>
    <cellStyle name="SAPBEXexcCritical4 12" xfId="745" xr:uid="{00000000-0005-0000-0000-0000CC020000}"/>
    <cellStyle name="SAPBEXexcCritical4 2" xfId="746" xr:uid="{00000000-0005-0000-0000-0000CD020000}"/>
    <cellStyle name="SAPBEXexcCritical4 2 10" xfId="747" xr:uid="{00000000-0005-0000-0000-0000CE020000}"/>
    <cellStyle name="SAPBEXexcCritical4 2 2" xfId="748" xr:uid="{00000000-0005-0000-0000-0000CF020000}"/>
    <cellStyle name="SAPBEXexcCritical4 2 3" xfId="749" xr:uid="{00000000-0005-0000-0000-0000D0020000}"/>
    <cellStyle name="SAPBEXexcCritical4 2 4" xfId="750" xr:uid="{00000000-0005-0000-0000-0000D1020000}"/>
    <cellStyle name="SAPBEXexcCritical4 2 5" xfId="751" xr:uid="{00000000-0005-0000-0000-0000D2020000}"/>
    <cellStyle name="SAPBEXexcCritical4 2 6" xfId="752" xr:uid="{00000000-0005-0000-0000-0000D3020000}"/>
    <cellStyle name="SAPBEXexcCritical4 2 7" xfId="753" xr:uid="{00000000-0005-0000-0000-0000D4020000}"/>
    <cellStyle name="SAPBEXexcCritical4 2 8" xfId="754" xr:uid="{00000000-0005-0000-0000-0000D5020000}"/>
    <cellStyle name="SAPBEXexcCritical4 2 9" xfId="755" xr:uid="{00000000-0005-0000-0000-0000D6020000}"/>
    <cellStyle name="SAPBEXexcCritical4 3" xfId="756" xr:uid="{00000000-0005-0000-0000-0000D7020000}"/>
    <cellStyle name="SAPBEXexcCritical4 4" xfId="757" xr:uid="{00000000-0005-0000-0000-0000D8020000}"/>
    <cellStyle name="SAPBEXexcCritical4 5" xfId="758" xr:uid="{00000000-0005-0000-0000-0000D9020000}"/>
    <cellStyle name="SAPBEXexcCritical4 6" xfId="759" xr:uid="{00000000-0005-0000-0000-0000DA020000}"/>
    <cellStyle name="SAPBEXexcCritical4 7" xfId="760" xr:uid="{00000000-0005-0000-0000-0000DB020000}"/>
    <cellStyle name="SAPBEXexcCritical4 8" xfId="761" xr:uid="{00000000-0005-0000-0000-0000DC020000}"/>
    <cellStyle name="SAPBEXexcCritical4 9" xfId="762" xr:uid="{00000000-0005-0000-0000-0000DD020000}"/>
    <cellStyle name="SAPBEXexcCritical5" xfId="30" xr:uid="{00000000-0005-0000-0000-0000DE020000}"/>
    <cellStyle name="SAPBEXexcCritical5 10" xfId="763" xr:uid="{00000000-0005-0000-0000-0000DF020000}"/>
    <cellStyle name="SAPBEXexcCritical5 11" xfId="764" xr:uid="{00000000-0005-0000-0000-0000E0020000}"/>
    <cellStyle name="SAPBEXexcCritical5 12" xfId="765" xr:uid="{00000000-0005-0000-0000-0000E1020000}"/>
    <cellStyle name="SAPBEXexcCritical5 2" xfId="766" xr:uid="{00000000-0005-0000-0000-0000E2020000}"/>
    <cellStyle name="SAPBEXexcCritical5 2 10" xfId="767" xr:uid="{00000000-0005-0000-0000-0000E3020000}"/>
    <cellStyle name="SAPBEXexcCritical5 2 2" xfId="768" xr:uid="{00000000-0005-0000-0000-0000E4020000}"/>
    <cellStyle name="SAPBEXexcCritical5 2 3" xfId="769" xr:uid="{00000000-0005-0000-0000-0000E5020000}"/>
    <cellStyle name="SAPBEXexcCritical5 2 4" xfId="770" xr:uid="{00000000-0005-0000-0000-0000E6020000}"/>
    <cellStyle name="SAPBEXexcCritical5 2 5" xfId="771" xr:uid="{00000000-0005-0000-0000-0000E7020000}"/>
    <cellStyle name="SAPBEXexcCritical5 2 6" xfId="772" xr:uid="{00000000-0005-0000-0000-0000E8020000}"/>
    <cellStyle name="SAPBEXexcCritical5 2 7" xfId="773" xr:uid="{00000000-0005-0000-0000-0000E9020000}"/>
    <cellStyle name="SAPBEXexcCritical5 2 8" xfId="774" xr:uid="{00000000-0005-0000-0000-0000EA020000}"/>
    <cellStyle name="SAPBEXexcCritical5 2 9" xfId="775" xr:uid="{00000000-0005-0000-0000-0000EB020000}"/>
    <cellStyle name="SAPBEXexcCritical5 3" xfId="776" xr:uid="{00000000-0005-0000-0000-0000EC020000}"/>
    <cellStyle name="SAPBEXexcCritical5 4" xfId="777" xr:uid="{00000000-0005-0000-0000-0000ED020000}"/>
    <cellStyle name="SAPBEXexcCritical5 5" xfId="778" xr:uid="{00000000-0005-0000-0000-0000EE020000}"/>
    <cellStyle name="SAPBEXexcCritical5 6" xfId="779" xr:uid="{00000000-0005-0000-0000-0000EF020000}"/>
    <cellStyle name="SAPBEXexcCritical5 7" xfId="780" xr:uid="{00000000-0005-0000-0000-0000F0020000}"/>
    <cellStyle name="SAPBEXexcCritical5 8" xfId="781" xr:uid="{00000000-0005-0000-0000-0000F1020000}"/>
    <cellStyle name="SAPBEXexcCritical5 9" xfId="782" xr:uid="{00000000-0005-0000-0000-0000F2020000}"/>
    <cellStyle name="SAPBEXexcCritical6" xfId="31" xr:uid="{00000000-0005-0000-0000-0000F3020000}"/>
    <cellStyle name="SAPBEXexcCritical6 10" xfId="783" xr:uid="{00000000-0005-0000-0000-0000F4020000}"/>
    <cellStyle name="SAPBEXexcCritical6 11" xfId="784" xr:uid="{00000000-0005-0000-0000-0000F5020000}"/>
    <cellStyle name="SAPBEXexcCritical6 12" xfId="785" xr:uid="{00000000-0005-0000-0000-0000F6020000}"/>
    <cellStyle name="SAPBEXexcCritical6 2" xfId="786" xr:uid="{00000000-0005-0000-0000-0000F7020000}"/>
    <cellStyle name="SAPBEXexcCritical6 2 10" xfId="787" xr:uid="{00000000-0005-0000-0000-0000F8020000}"/>
    <cellStyle name="SAPBEXexcCritical6 2 2" xfId="788" xr:uid="{00000000-0005-0000-0000-0000F9020000}"/>
    <cellStyle name="SAPBEXexcCritical6 2 3" xfId="789" xr:uid="{00000000-0005-0000-0000-0000FA020000}"/>
    <cellStyle name="SAPBEXexcCritical6 2 4" xfId="790" xr:uid="{00000000-0005-0000-0000-0000FB020000}"/>
    <cellStyle name="SAPBEXexcCritical6 2 5" xfId="791" xr:uid="{00000000-0005-0000-0000-0000FC020000}"/>
    <cellStyle name="SAPBEXexcCritical6 2 6" xfId="792" xr:uid="{00000000-0005-0000-0000-0000FD020000}"/>
    <cellStyle name="SAPBEXexcCritical6 2 7" xfId="793" xr:uid="{00000000-0005-0000-0000-0000FE020000}"/>
    <cellStyle name="SAPBEXexcCritical6 2 8" xfId="794" xr:uid="{00000000-0005-0000-0000-0000FF020000}"/>
    <cellStyle name="SAPBEXexcCritical6 2 9" xfId="795" xr:uid="{00000000-0005-0000-0000-000000030000}"/>
    <cellStyle name="SAPBEXexcCritical6 3" xfId="796" xr:uid="{00000000-0005-0000-0000-000001030000}"/>
    <cellStyle name="SAPBEXexcCritical6 4" xfId="797" xr:uid="{00000000-0005-0000-0000-000002030000}"/>
    <cellStyle name="SAPBEXexcCritical6 5" xfId="798" xr:uid="{00000000-0005-0000-0000-000003030000}"/>
    <cellStyle name="SAPBEXexcCritical6 6" xfId="799" xr:uid="{00000000-0005-0000-0000-000004030000}"/>
    <cellStyle name="SAPBEXexcCritical6 7" xfId="800" xr:uid="{00000000-0005-0000-0000-000005030000}"/>
    <cellStyle name="SAPBEXexcCritical6 8" xfId="801" xr:uid="{00000000-0005-0000-0000-000006030000}"/>
    <cellStyle name="SAPBEXexcCritical6 9" xfId="802" xr:uid="{00000000-0005-0000-0000-000007030000}"/>
    <cellStyle name="SAPBEXexcGood1" xfId="32" xr:uid="{00000000-0005-0000-0000-000008030000}"/>
    <cellStyle name="SAPBEXexcGood1 10" xfId="803" xr:uid="{00000000-0005-0000-0000-000009030000}"/>
    <cellStyle name="SAPBEXexcGood1 11" xfId="804" xr:uid="{00000000-0005-0000-0000-00000A030000}"/>
    <cellStyle name="SAPBEXexcGood1 12" xfId="805" xr:uid="{00000000-0005-0000-0000-00000B030000}"/>
    <cellStyle name="SAPBEXexcGood1 2" xfId="806" xr:uid="{00000000-0005-0000-0000-00000C030000}"/>
    <cellStyle name="SAPBEXexcGood1 2 10" xfId="807" xr:uid="{00000000-0005-0000-0000-00000D030000}"/>
    <cellStyle name="SAPBEXexcGood1 2 2" xfId="808" xr:uid="{00000000-0005-0000-0000-00000E030000}"/>
    <cellStyle name="SAPBEXexcGood1 2 3" xfId="809" xr:uid="{00000000-0005-0000-0000-00000F030000}"/>
    <cellStyle name="SAPBEXexcGood1 2 4" xfId="810" xr:uid="{00000000-0005-0000-0000-000010030000}"/>
    <cellStyle name="SAPBEXexcGood1 2 5" xfId="811" xr:uid="{00000000-0005-0000-0000-000011030000}"/>
    <cellStyle name="SAPBEXexcGood1 2 6" xfId="812" xr:uid="{00000000-0005-0000-0000-000012030000}"/>
    <cellStyle name="SAPBEXexcGood1 2 7" xfId="813" xr:uid="{00000000-0005-0000-0000-000013030000}"/>
    <cellStyle name="SAPBEXexcGood1 2 8" xfId="814" xr:uid="{00000000-0005-0000-0000-000014030000}"/>
    <cellStyle name="SAPBEXexcGood1 2 9" xfId="815" xr:uid="{00000000-0005-0000-0000-000015030000}"/>
    <cellStyle name="SAPBEXexcGood1 3" xfId="816" xr:uid="{00000000-0005-0000-0000-000016030000}"/>
    <cellStyle name="SAPBEXexcGood1 4" xfId="817" xr:uid="{00000000-0005-0000-0000-000017030000}"/>
    <cellStyle name="SAPBEXexcGood1 5" xfId="818" xr:uid="{00000000-0005-0000-0000-000018030000}"/>
    <cellStyle name="SAPBEXexcGood1 6" xfId="819" xr:uid="{00000000-0005-0000-0000-000019030000}"/>
    <cellStyle name="SAPBEXexcGood1 7" xfId="820" xr:uid="{00000000-0005-0000-0000-00001A030000}"/>
    <cellStyle name="SAPBEXexcGood1 8" xfId="821" xr:uid="{00000000-0005-0000-0000-00001B030000}"/>
    <cellStyle name="SAPBEXexcGood1 9" xfId="822" xr:uid="{00000000-0005-0000-0000-00001C030000}"/>
    <cellStyle name="SAPBEXexcGood2" xfId="33" xr:uid="{00000000-0005-0000-0000-00001D030000}"/>
    <cellStyle name="SAPBEXexcGood2 10" xfId="823" xr:uid="{00000000-0005-0000-0000-00001E030000}"/>
    <cellStyle name="SAPBEXexcGood2 11" xfId="824" xr:uid="{00000000-0005-0000-0000-00001F030000}"/>
    <cellStyle name="SAPBEXexcGood2 12" xfId="825" xr:uid="{00000000-0005-0000-0000-000020030000}"/>
    <cellStyle name="SAPBEXexcGood2 2" xfId="826" xr:uid="{00000000-0005-0000-0000-000021030000}"/>
    <cellStyle name="SAPBEXexcGood2 2 10" xfId="827" xr:uid="{00000000-0005-0000-0000-000022030000}"/>
    <cellStyle name="SAPBEXexcGood2 2 2" xfId="828" xr:uid="{00000000-0005-0000-0000-000023030000}"/>
    <cellStyle name="SAPBEXexcGood2 2 3" xfId="829" xr:uid="{00000000-0005-0000-0000-000024030000}"/>
    <cellStyle name="SAPBEXexcGood2 2 4" xfId="830" xr:uid="{00000000-0005-0000-0000-000025030000}"/>
    <cellStyle name="SAPBEXexcGood2 2 5" xfId="831" xr:uid="{00000000-0005-0000-0000-000026030000}"/>
    <cellStyle name="SAPBEXexcGood2 2 6" xfId="832" xr:uid="{00000000-0005-0000-0000-000027030000}"/>
    <cellStyle name="SAPBEXexcGood2 2 7" xfId="833" xr:uid="{00000000-0005-0000-0000-000028030000}"/>
    <cellStyle name="SAPBEXexcGood2 2 8" xfId="834" xr:uid="{00000000-0005-0000-0000-000029030000}"/>
    <cellStyle name="SAPBEXexcGood2 2 9" xfId="835" xr:uid="{00000000-0005-0000-0000-00002A030000}"/>
    <cellStyle name="SAPBEXexcGood2 3" xfId="836" xr:uid="{00000000-0005-0000-0000-00002B030000}"/>
    <cellStyle name="SAPBEXexcGood2 4" xfId="837" xr:uid="{00000000-0005-0000-0000-00002C030000}"/>
    <cellStyle name="SAPBEXexcGood2 5" xfId="838" xr:uid="{00000000-0005-0000-0000-00002D030000}"/>
    <cellStyle name="SAPBEXexcGood2 6" xfId="839" xr:uid="{00000000-0005-0000-0000-00002E030000}"/>
    <cellStyle name="SAPBEXexcGood2 7" xfId="840" xr:uid="{00000000-0005-0000-0000-00002F030000}"/>
    <cellStyle name="SAPBEXexcGood2 8" xfId="841" xr:uid="{00000000-0005-0000-0000-000030030000}"/>
    <cellStyle name="SAPBEXexcGood2 9" xfId="842" xr:uid="{00000000-0005-0000-0000-000031030000}"/>
    <cellStyle name="SAPBEXexcGood3" xfId="34" xr:uid="{00000000-0005-0000-0000-000032030000}"/>
    <cellStyle name="SAPBEXexcGood3 10" xfId="843" xr:uid="{00000000-0005-0000-0000-000033030000}"/>
    <cellStyle name="SAPBEXexcGood3 11" xfId="844" xr:uid="{00000000-0005-0000-0000-000034030000}"/>
    <cellStyle name="SAPBEXexcGood3 12" xfId="845" xr:uid="{00000000-0005-0000-0000-000035030000}"/>
    <cellStyle name="SAPBEXexcGood3 2" xfId="846" xr:uid="{00000000-0005-0000-0000-000036030000}"/>
    <cellStyle name="SAPBEXexcGood3 2 10" xfId="847" xr:uid="{00000000-0005-0000-0000-000037030000}"/>
    <cellStyle name="SAPBEXexcGood3 2 2" xfId="848" xr:uid="{00000000-0005-0000-0000-000038030000}"/>
    <cellStyle name="SAPBEXexcGood3 2 3" xfId="849" xr:uid="{00000000-0005-0000-0000-000039030000}"/>
    <cellStyle name="SAPBEXexcGood3 2 4" xfId="850" xr:uid="{00000000-0005-0000-0000-00003A030000}"/>
    <cellStyle name="SAPBEXexcGood3 2 5" xfId="851" xr:uid="{00000000-0005-0000-0000-00003B030000}"/>
    <cellStyle name="SAPBEXexcGood3 2 6" xfId="852" xr:uid="{00000000-0005-0000-0000-00003C030000}"/>
    <cellStyle name="SAPBEXexcGood3 2 7" xfId="853" xr:uid="{00000000-0005-0000-0000-00003D030000}"/>
    <cellStyle name="SAPBEXexcGood3 2 8" xfId="854" xr:uid="{00000000-0005-0000-0000-00003E030000}"/>
    <cellStyle name="SAPBEXexcGood3 2 9" xfId="855" xr:uid="{00000000-0005-0000-0000-00003F030000}"/>
    <cellStyle name="SAPBEXexcGood3 3" xfId="856" xr:uid="{00000000-0005-0000-0000-000040030000}"/>
    <cellStyle name="SAPBEXexcGood3 4" xfId="857" xr:uid="{00000000-0005-0000-0000-000041030000}"/>
    <cellStyle name="SAPBEXexcGood3 5" xfId="858" xr:uid="{00000000-0005-0000-0000-000042030000}"/>
    <cellStyle name="SAPBEXexcGood3 6" xfId="859" xr:uid="{00000000-0005-0000-0000-000043030000}"/>
    <cellStyle name="SAPBEXexcGood3 7" xfId="860" xr:uid="{00000000-0005-0000-0000-000044030000}"/>
    <cellStyle name="SAPBEXexcGood3 8" xfId="861" xr:uid="{00000000-0005-0000-0000-000045030000}"/>
    <cellStyle name="SAPBEXexcGood3 9" xfId="862" xr:uid="{00000000-0005-0000-0000-000046030000}"/>
    <cellStyle name="SAPBEXfilterDrill" xfId="35" xr:uid="{00000000-0005-0000-0000-000047030000}"/>
    <cellStyle name="SAPBEXfilterDrill 10" xfId="863" xr:uid="{00000000-0005-0000-0000-000048030000}"/>
    <cellStyle name="SAPBEXfilterDrill 11" xfId="864" xr:uid="{00000000-0005-0000-0000-000049030000}"/>
    <cellStyle name="SAPBEXfilterDrill 12" xfId="865" xr:uid="{00000000-0005-0000-0000-00004A030000}"/>
    <cellStyle name="SAPBEXfilterDrill 2" xfId="866" xr:uid="{00000000-0005-0000-0000-00004B030000}"/>
    <cellStyle name="SAPBEXfilterDrill 2 10" xfId="867" xr:uid="{00000000-0005-0000-0000-00004C030000}"/>
    <cellStyle name="SAPBEXfilterDrill 2 2" xfId="868" xr:uid="{00000000-0005-0000-0000-00004D030000}"/>
    <cellStyle name="SAPBEXfilterDrill 2 3" xfId="869" xr:uid="{00000000-0005-0000-0000-00004E030000}"/>
    <cellStyle name="SAPBEXfilterDrill 2 4" xfId="870" xr:uid="{00000000-0005-0000-0000-00004F030000}"/>
    <cellStyle name="SAPBEXfilterDrill 2 5" xfId="871" xr:uid="{00000000-0005-0000-0000-000050030000}"/>
    <cellStyle name="SAPBEXfilterDrill 2 6" xfId="872" xr:uid="{00000000-0005-0000-0000-000051030000}"/>
    <cellStyle name="SAPBEXfilterDrill 2 7" xfId="873" xr:uid="{00000000-0005-0000-0000-000052030000}"/>
    <cellStyle name="SAPBEXfilterDrill 2 8" xfId="874" xr:uid="{00000000-0005-0000-0000-000053030000}"/>
    <cellStyle name="SAPBEXfilterDrill 2 9" xfId="875" xr:uid="{00000000-0005-0000-0000-000054030000}"/>
    <cellStyle name="SAPBEXfilterDrill 3" xfId="876" xr:uid="{00000000-0005-0000-0000-000055030000}"/>
    <cellStyle name="SAPBEXfilterDrill 4" xfId="877" xr:uid="{00000000-0005-0000-0000-000056030000}"/>
    <cellStyle name="SAPBEXfilterDrill 5" xfId="878" xr:uid="{00000000-0005-0000-0000-000057030000}"/>
    <cellStyle name="SAPBEXfilterDrill 6" xfId="879" xr:uid="{00000000-0005-0000-0000-000058030000}"/>
    <cellStyle name="SAPBEXfilterDrill 7" xfId="880" xr:uid="{00000000-0005-0000-0000-000059030000}"/>
    <cellStyle name="SAPBEXfilterDrill 8" xfId="881" xr:uid="{00000000-0005-0000-0000-00005A030000}"/>
    <cellStyle name="SAPBEXfilterDrill 9" xfId="882" xr:uid="{00000000-0005-0000-0000-00005B030000}"/>
    <cellStyle name="SAPBEXfilterItem" xfId="36" xr:uid="{00000000-0005-0000-0000-00005C030000}"/>
    <cellStyle name="SAPBEXfilterItem 10" xfId="883" xr:uid="{00000000-0005-0000-0000-00005D030000}"/>
    <cellStyle name="SAPBEXfilterItem 11" xfId="884" xr:uid="{00000000-0005-0000-0000-00005E030000}"/>
    <cellStyle name="SAPBEXfilterItem 12" xfId="885" xr:uid="{00000000-0005-0000-0000-00005F030000}"/>
    <cellStyle name="SAPBEXfilterItem 2" xfId="886" xr:uid="{00000000-0005-0000-0000-000060030000}"/>
    <cellStyle name="SAPBEXfilterItem 2 10" xfId="887" xr:uid="{00000000-0005-0000-0000-000061030000}"/>
    <cellStyle name="SAPBEXfilterItem 2 2" xfId="888" xr:uid="{00000000-0005-0000-0000-000062030000}"/>
    <cellStyle name="SAPBEXfilterItem 2 3" xfId="889" xr:uid="{00000000-0005-0000-0000-000063030000}"/>
    <cellStyle name="SAPBEXfilterItem 2 4" xfId="890" xr:uid="{00000000-0005-0000-0000-000064030000}"/>
    <cellStyle name="SAPBEXfilterItem 2 5" xfId="891" xr:uid="{00000000-0005-0000-0000-000065030000}"/>
    <cellStyle name="SAPBEXfilterItem 2 6" xfId="892" xr:uid="{00000000-0005-0000-0000-000066030000}"/>
    <cellStyle name="SAPBEXfilterItem 2 7" xfId="893" xr:uid="{00000000-0005-0000-0000-000067030000}"/>
    <cellStyle name="SAPBEXfilterItem 2 8" xfId="894" xr:uid="{00000000-0005-0000-0000-000068030000}"/>
    <cellStyle name="SAPBEXfilterItem 2 9" xfId="895" xr:uid="{00000000-0005-0000-0000-000069030000}"/>
    <cellStyle name="SAPBEXfilterItem 3" xfId="896" xr:uid="{00000000-0005-0000-0000-00006A030000}"/>
    <cellStyle name="SAPBEXfilterItem 4" xfId="897" xr:uid="{00000000-0005-0000-0000-00006B030000}"/>
    <cellStyle name="SAPBEXfilterItem 5" xfId="898" xr:uid="{00000000-0005-0000-0000-00006C030000}"/>
    <cellStyle name="SAPBEXfilterItem 6" xfId="899" xr:uid="{00000000-0005-0000-0000-00006D030000}"/>
    <cellStyle name="SAPBEXfilterItem 7" xfId="900" xr:uid="{00000000-0005-0000-0000-00006E030000}"/>
    <cellStyle name="SAPBEXfilterItem 8" xfId="901" xr:uid="{00000000-0005-0000-0000-00006F030000}"/>
    <cellStyle name="SAPBEXfilterItem 9" xfId="902" xr:uid="{00000000-0005-0000-0000-000070030000}"/>
    <cellStyle name="SAPBEXfilterText" xfId="37" xr:uid="{00000000-0005-0000-0000-000071030000}"/>
    <cellStyle name="SAPBEXfilterText 10" xfId="903" xr:uid="{00000000-0005-0000-0000-000072030000}"/>
    <cellStyle name="SAPBEXfilterText 11" xfId="904" xr:uid="{00000000-0005-0000-0000-000073030000}"/>
    <cellStyle name="SAPBEXfilterText 12" xfId="905" xr:uid="{00000000-0005-0000-0000-000074030000}"/>
    <cellStyle name="SAPBEXfilterText 2" xfId="906" xr:uid="{00000000-0005-0000-0000-000075030000}"/>
    <cellStyle name="SAPBEXfilterText 2 10" xfId="907" xr:uid="{00000000-0005-0000-0000-000076030000}"/>
    <cellStyle name="SAPBEXfilterText 2 2" xfId="908" xr:uid="{00000000-0005-0000-0000-000077030000}"/>
    <cellStyle name="SAPBEXfilterText 2 3" xfId="909" xr:uid="{00000000-0005-0000-0000-000078030000}"/>
    <cellStyle name="SAPBEXfilterText 2 4" xfId="910" xr:uid="{00000000-0005-0000-0000-000079030000}"/>
    <cellStyle name="SAPBEXfilterText 2 5" xfId="911" xr:uid="{00000000-0005-0000-0000-00007A030000}"/>
    <cellStyle name="SAPBEXfilterText 2 6" xfId="912" xr:uid="{00000000-0005-0000-0000-00007B030000}"/>
    <cellStyle name="SAPBEXfilterText 2 7" xfId="913" xr:uid="{00000000-0005-0000-0000-00007C030000}"/>
    <cellStyle name="SAPBEXfilterText 2 8" xfId="914" xr:uid="{00000000-0005-0000-0000-00007D030000}"/>
    <cellStyle name="SAPBEXfilterText 2 9" xfId="915" xr:uid="{00000000-0005-0000-0000-00007E030000}"/>
    <cellStyle name="SAPBEXfilterText 3" xfId="916" xr:uid="{00000000-0005-0000-0000-00007F030000}"/>
    <cellStyle name="SAPBEXfilterText 4" xfId="917" xr:uid="{00000000-0005-0000-0000-000080030000}"/>
    <cellStyle name="SAPBEXfilterText 5" xfId="918" xr:uid="{00000000-0005-0000-0000-000081030000}"/>
    <cellStyle name="SAPBEXfilterText 6" xfId="919" xr:uid="{00000000-0005-0000-0000-000082030000}"/>
    <cellStyle name="SAPBEXfilterText 7" xfId="920" xr:uid="{00000000-0005-0000-0000-000083030000}"/>
    <cellStyle name="SAPBEXfilterText 8" xfId="921" xr:uid="{00000000-0005-0000-0000-000084030000}"/>
    <cellStyle name="SAPBEXfilterText 9" xfId="922" xr:uid="{00000000-0005-0000-0000-000085030000}"/>
    <cellStyle name="SAPBEXformats" xfId="38" xr:uid="{00000000-0005-0000-0000-000086030000}"/>
    <cellStyle name="SAPBEXformats 10" xfId="923" xr:uid="{00000000-0005-0000-0000-000087030000}"/>
    <cellStyle name="SAPBEXformats 11" xfId="924" xr:uid="{00000000-0005-0000-0000-000088030000}"/>
    <cellStyle name="SAPBEXformats 12" xfId="925" xr:uid="{00000000-0005-0000-0000-000089030000}"/>
    <cellStyle name="SAPBEXformats 2" xfId="926" xr:uid="{00000000-0005-0000-0000-00008A030000}"/>
    <cellStyle name="SAPBEXformats 2 10" xfId="927" xr:uid="{00000000-0005-0000-0000-00008B030000}"/>
    <cellStyle name="SAPBEXformats 2 2" xfId="928" xr:uid="{00000000-0005-0000-0000-00008C030000}"/>
    <cellStyle name="SAPBEXformats 2 3" xfId="929" xr:uid="{00000000-0005-0000-0000-00008D030000}"/>
    <cellStyle name="SAPBEXformats 2 4" xfId="930" xr:uid="{00000000-0005-0000-0000-00008E030000}"/>
    <cellStyle name="SAPBEXformats 2 5" xfId="931" xr:uid="{00000000-0005-0000-0000-00008F030000}"/>
    <cellStyle name="SAPBEXformats 2 6" xfId="932" xr:uid="{00000000-0005-0000-0000-000090030000}"/>
    <cellStyle name="SAPBEXformats 2 7" xfId="933" xr:uid="{00000000-0005-0000-0000-000091030000}"/>
    <cellStyle name="SAPBEXformats 2 8" xfId="934" xr:uid="{00000000-0005-0000-0000-000092030000}"/>
    <cellStyle name="SAPBEXformats 2 9" xfId="935" xr:uid="{00000000-0005-0000-0000-000093030000}"/>
    <cellStyle name="SAPBEXformats 3" xfId="936" xr:uid="{00000000-0005-0000-0000-000094030000}"/>
    <cellStyle name="SAPBEXformats 4" xfId="937" xr:uid="{00000000-0005-0000-0000-000095030000}"/>
    <cellStyle name="SAPBEXformats 5" xfId="938" xr:uid="{00000000-0005-0000-0000-000096030000}"/>
    <cellStyle name="SAPBEXformats 6" xfId="939" xr:uid="{00000000-0005-0000-0000-000097030000}"/>
    <cellStyle name="SAPBEXformats 7" xfId="940" xr:uid="{00000000-0005-0000-0000-000098030000}"/>
    <cellStyle name="SAPBEXformats 8" xfId="941" xr:uid="{00000000-0005-0000-0000-000099030000}"/>
    <cellStyle name="SAPBEXformats 9" xfId="942" xr:uid="{00000000-0005-0000-0000-00009A030000}"/>
    <cellStyle name="SAPBEXheaderItem" xfId="39" xr:uid="{00000000-0005-0000-0000-00009B030000}"/>
    <cellStyle name="SAPBEXheaderItem 10" xfId="943" xr:uid="{00000000-0005-0000-0000-00009C030000}"/>
    <cellStyle name="SAPBEXheaderItem 11" xfId="944" xr:uid="{00000000-0005-0000-0000-00009D030000}"/>
    <cellStyle name="SAPBEXheaderItem 12" xfId="945" xr:uid="{00000000-0005-0000-0000-00009E030000}"/>
    <cellStyle name="SAPBEXheaderItem 2" xfId="946" xr:uid="{00000000-0005-0000-0000-00009F030000}"/>
    <cellStyle name="SAPBEXheaderItem 2 10" xfId="947" xr:uid="{00000000-0005-0000-0000-0000A0030000}"/>
    <cellStyle name="SAPBEXheaderItem 2 2" xfId="948" xr:uid="{00000000-0005-0000-0000-0000A1030000}"/>
    <cellStyle name="SAPBEXheaderItem 2 3" xfId="949" xr:uid="{00000000-0005-0000-0000-0000A2030000}"/>
    <cellStyle name="SAPBEXheaderItem 2 4" xfId="950" xr:uid="{00000000-0005-0000-0000-0000A3030000}"/>
    <cellStyle name="SAPBEXheaderItem 2 5" xfId="951" xr:uid="{00000000-0005-0000-0000-0000A4030000}"/>
    <cellStyle name="SAPBEXheaderItem 2 6" xfId="952" xr:uid="{00000000-0005-0000-0000-0000A5030000}"/>
    <cellStyle name="SAPBEXheaderItem 2 7" xfId="953" xr:uid="{00000000-0005-0000-0000-0000A6030000}"/>
    <cellStyle name="SAPBEXheaderItem 2 8" xfId="954" xr:uid="{00000000-0005-0000-0000-0000A7030000}"/>
    <cellStyle name="SAPBEXheaderItem 2 9" xfId="955" xr:uid="{00000000-0005-0000-0000-0000A8030000}"/>
    <cellStyle name="SAPBEXheaderItem 3" xfId="956" xr:uid="{00000000-0005-0000-0000-0000A9030000}"/>
    <cellStyle name="SAPBEXheaderItem 4" xfId="957" xr:uid="{00000000-0005-0000-0000-0000AA030000}"/>
    <cellStyle name="SAPBEXheaderItem 5" xfId="958" xr:uid="{00000000-0005-0000-0000-0000AB030000}"/>
    <cellStyle name="SAPBEXheaderItem 6" xfId="959" xr:uid="{00000000-0005-0000-0000-0000AC030000}"/>
    <cellStyle name="SAPBEXheaderItem 7" xfId="960" xr:uid="{00000000-0005-0000-0000-0000AD030000}"/>
    <cellStyle name="SAPBEXheaderItem 8" xfId="961" xr:uid="{00000000-0005-0000-0000-0000AE030000}"/>
    <cellStyle name="SAPBEXheaderItem 9" xfId="962" xr:uid="{00000000-0005-0000-0000-0000AF030000}"/>
    <cellStyle name="SAPBEXheaderText" xfId="40" xr:uid="{00000000-0005-0000-0000-0000B0030000}"/>
    <cellStyle name="SAPBEXheaderText 10" xfId="963" xr:uid="{00000000-0005-0000-0000-0000B1030000}"/>
    <cellStyle name="SAPBEXheaderText 11" xfId="964" xr:uid="{00000000-0005-0000-0000-0000B2030000}"/>
    <cellStyle name="SAPBEXheaderText 12" xfId="965" xr:uid="{00000000-0005-0000-0000-0000B3030000}"/>
    <cellStyle name="SAPBEXheaderText 2" xfId="966" xr:uid="{00000000-0005-0000-0000-0000B4030000}"/>
    <cellStyle name="SAPBEXheaderText 2 10" xfId="967" xr:uid="{00000000-0005-0000-0000-0000B5030000}"/>
    <cellStyle name="SAPBEXheaderText 2 2" xfId="968" xr:uid="{00000000-0005-0000-0000-0000B6030000}"/>
    <cellStyle name="SAPBEXheaderText 2 3" xfId="969" xr:uid="{00000000-0005-0000-0000-0000B7030000}"/>
    <cellStyle name="SAPBEXheaderText 2 4" xfId="970" xr:uid="{00000000-0005-0000-0000-0000B8030000}"/>
    <cellStyle name="SAPBEXheaderText 2 5" xfId="971" xr:uid="{00000000-0005-0000-0000-0000B9030000}"/>
    <cellStyle name="SAPBEXheaderText 2 6" xfId="972" xr:uid="{00000000-0005-0000-0000-0000BA030000}"/>
    <cellStyle name="SAPBEXheaderText 2 7" xfId="973" xr:uid="{00000000-0005-0000-0000-0000BB030000}"/>
    <cellStyle name="SAPBEXheaderText 2 8" xfId="974" xr:uid="{00000000-0005-0000-0000-0000BC030000}"/>
    <cellStyle name="SAPBEXheaderText 2 9" xfId="975" xr:uid="{00000000-0005-0000-0000-0000BD030000}"/>
    <cellStyle name="SAPBEXheaderText 3" xfId="976" xr:uid="{00000000-0005-0000-0000-0000BE030000}"/>
    <cellStyle name="SAPBEXheaderText 4" xfId="977" xr:uid="{00000000-0005-0000-0000-0000BF030000}"/>
    <cellStyle name="SAPBEXheaderText 5" xfId="978" xr:uid="{00000000-0005-0000-0000-0000C0030000}"/>
    <cellStyle name="SAPBEXheaderText 6" xfId="979" xr:uid="{00000000-0005-0000-0000-0000C1030000}"/>
    <cellStyle name="SAPBEXheaderText 7" xfId="980" xr:uid="{00000000-0005-0000-0000-0000C2030000}"/>
    <cellStyle name="SAPBEXheaderText 8" xfId="981" xr:uid="{00000000-0005-0000-0000-0000C3030000}"/>
    <cellStyle name="SAPBEXheaderText 9" xfId="982" xr:uid="{00000000-0005-0000-0000-0000C4030000}"/>
    <cellStyle name="SAPBEXHLevel0" xfId="41" xr:uid="{00000000-0005-0000-0000-0000C5030000}"/>
    <cellStyle name="SAPBEXHLevel0 10" xfId="983" xr:uid="{00000000-0005-0000-0000-0000C6030000}"/>
    <cellStyle name="SAPBEXHLevel0 11" xfId="984" xr:uid="{00000000-0005-0000-0000-0000C7030000}"/>
    <cellStyle name="SAPBEXHLevel0 12" xfId="985" xr:uid="{00000000-0005-0000-0000-0000C8030000}"/>
    <cellStyle name="SAPBEXHLevel0 2" xfId="986" xr:uid="{00000000-0005-0000-0000-0000C9030000}"/>
    <cellStyle name="SAPBEXHLevel0 2 10" xfId="987" xr:uid="{00000000-0005-0000-0000-0000CA030000}"/>
    <cellStyle name="SAPBEXHLevel0 2 11" xfId="988" xr:uid="{00000000-0005-0000-0000-0000CB030000}"/>
    <cellStyle name="SAPBEXHLevel0 2 2" xfId="989" xr:uid="{00000000-0005-0000-0000-0000CC030000}"/>
    <cellStyle name="SAPBEXHLevel0 2 3" xfId="990" xr:uid="{00000000-0005-0000-0000-0000CD030000}"/>
    <cellStyle name="SAPBEXHLevel0 2 4" xfId="991" xr:uid="{00000000-0005-0000-0000-0000CE030000}"/>
    <cellStyle name="SAPBEXHLevel0 2 5" xfId="992" xr:uid="{00000000-0005-0000-0000-0000CF030000}"/>
    <cellStyle name="SAPBEXHLevel0 2 6" xfId="993" xr:uid="{00000000-0005-0000-0000-0000D0030000}"/>
    <cellStyle name="SAPBEXHLevel0 2 7" xfId="994" xr:uid="{00000000-0005-0000-0000-0000D1030000}"/>
    <cellStyle name="SAPBEXHLevel0 2 8" xfId="995" xr:uid="{00000000-0005-0000-0000-0000D2030000}"/>
    <cellStyle name="SAPBEXHLevel0 2 9" xfId="996" xr:uid="{00000000-0005-0000-0000-0000D3030000}"/>
    <cellStyle name="SAPBEXHLevel0 3" xfId="997" xr:uid="{00000000-0005-0000-0000-0000D4030000}"/>
    <cellStyle name="SAPBEXHLevel0 4" xfId="998" xr:uid="{00000000-0005-0000-0000-0000D5030000}"/>
    <cellStyle name="SAPBEXHLevel0 5" xfId="999" xr:uid="{00000000-0005-0000-0000-0000D6030000}"/>
    <cellStyle name="SAPBEXHLevel0 6" xfId="1000" xr:uid="{00000000-0005-0000-0000-0000D7030000}"/>
    <cellStyle name="SAPBEXHLevel0 7" xfId="1001" xr:uid="{00000000-0005-0000-0000-0000D8030000}"/>
    <cellStyle name="SAPBEXHLevel0 8" xfId="1002" xr:uid="{00000000-0005-0000-0000-0000D9030000}"/>
    <cellStyle name="SAPBEXHLevel0 9" xfId="1003" xr:uid="{00000000-0005-0000-0000-0000DA030000}"/>
    <cellStyle name="SAPBEXHLevel0X" xfId="42" xr:uid="{00000000-0005-0000-0000-0000DB030000}"/>
    <cellStyle name="SAPBEXHLevel0X 10" xfId="1004" xr:uid="{00000000-0005-0000-0000-0000DC030000}"/>
    <cellStyle name="SAPBEXHLevel0X 11" xfId="1005" xr:uid="{00000000-0005-0000-0000-0000DD030000}"/>
    <cellStyle name="SAPBEXHLevel0X 12" xfId="1006" xr:uid="{00000000-0005-0000-0000-0000DE030000}"/>
    <cellStyle name="SAPBEXHLevel0X 2" xfId="1007" xr:uid="{00000000-0005-0000-0000-0000DF030000}"/>
    <cellStyle name="SAPBEXHLevel0X 2 10" xfId="1008" xr:uid="{00000000-0005-0000-0000-0000E0030000}"/>
    <cellStyle name="SAPBEXHLevel0X 2 2" xfId="1009" xr:uid="{00000000-0005-0000-0000-0000E1030000}"/>
    <cellStyle name="SAPBEXHLevel0X 2 3" xfId="1010" xr:uid="{00000000-0005-0000-0000-0000E2030000}"/>
    <cellStyle name="SAPBEXHLevel0X 2 4" xfId="1011" xr:uid="{00000000-0005-0000-0000-0000E3030000}"/>
    <cellStyle name="SAPBEXHLevel0X 2 5" xfId="1012" xr:uid="{00000000-0005-0000-0000-0000E4030000}"/>
    <cellStyle name="SAPBEXHLevel0X 2 6" xfId="1013" xr:uid="{00000000-0005-0000-0000-0000E5030000}"/>
    <cellStyle name="SAPBEXHLevel0X 2 7" xfId="1014" xr:uid="{00000000-0005-0000-0000-0000E6030000}"/>
    <cellStyle name="SAPBEXHLevel0X 2 8" xfId="1015" xr:uid="{00000000-0005-0000-0000-0000E7030000}"/>
    <cellStyle name="SAPBEXHLevel0X 2 9" xfId="1016" xr:uid="{00000000-0005-0000-0000-0000E8030000}"/>
    <cellStyle name="SAPBEXHLevel0X 3" xfId="1017" xr:uid="{00000000-0005-0000-0000-0000E9030000}"/>
    <cellStyle name="SAPBEXHLevel0X 4" xfId="1018" xr:uid="{00000000-0005-0000-0000-0000EA030000}"/>
    <cellStyle name="SAPBEXHLevel0X 5" xfId="1019" xr:uid="{00000000-0005-0000-0000-0000EB030000}"/>
    <cellStyle name="SAPBEXHLevel0X 6" xfId="1020" xr:uid="{00000000-0005-0000-0000-0000EC030000}"/>
    <cellStyle name="SAPBEXHLevel0X 7" xfId="1021" xr:uid="{00000000-0005-0000-0000-0000ED030000}"/>
    <cellStyle name="SAPBEXHLevel0X 8" xfId="1022" xr:uid="{00000000-0005-0000-0000-0000EE030000}"/>
    <cellStyle name="SAPBEXHLevel0X 9" xfId="1023" xr:uid="{00000000-0005-0000-0000-0000EF030000}"/>
    <cellStyle name="SAPBEXHLevel1" xfId="43" xr:uid="{00000000-0005-0000-0000-0000F0030000}"/>
    <cellStyle name="SAPBEXHLevel1 10" xfId="1024" xr:uid="{00000000-0005-0000-0000-0000F1030000}"/>
    <cellStyle name="SAPBEXHLevel1 11" xfId="1025" xr:uid="{00000000-0005-0000-0000-0000F2030000}"/>
    <cellStyle name="SAPBEXHLevel1 12" xfId="1026" xr:uid="{00000000-0005-0000-0000-0000F3030000}"/>
    <cellStyle name="SAPBEXHLevel1 2" xfId="1027" xr:uid="{00000000-0005-0000-0000-0000F4030000}"/>
    <cellStyle name="SAPBEXHLevel1 2 10" xfId="1028" xr:uid="{00000000-0005-0000-0000-0000F5030000}"/>
    <cellStyle name="SAPBEXHLevel1 2 11" xfId="1029" xr:uid="{00000000-0005-0000-0000-0000F6030000}"/>
    <cellStyle name="SAPBEXHLevel1 2 2" xfId="1030" xr:uid="{00000000-0005-0000-0000-0000F7030000}"/>
    <cellStyle name="SAPBEXHLevel1 2 3" xfId="1031" xr:uid="{00000000-0005-0000-0000-0000F8030000}"/>
    <cellStyle name="SAPBEXHLevel1 2 4" xfId="1032" xr:uid="{00000000-0005-0000-0000-0000F9030000}"/>
    <cellStyle name="SAPBEXHLevel1 2 5" xfId="1033" xr:uid="{00000000-0005-0000-0000-0000FA030000}"/>
    <cellStyle name="SAPBEXHLevel1 2 6" xfId="1034" xr:uid="{00000000-0005-0000-0000-0000FB030000}"/>
    <cellStyle name="SAPBEXHLevel1 2 7" xfId="1035" xr:uid="{00000000-0005-0000-0000-0000FC030000}"/>
    <cellStyle name="SAPBEXHLevel1 2 8" xfId="1036" xr:uid="{00000000-0005-0000-0000-0000FD030000}"/>
    <cellStyle name="SAPBEXHLevel1 2 9" xfId="1037" xr:uid="{00000000-0005-0000-0000-0000FE030000}"/>
    <cellStyle name="SAPBEXHLevel1 3" xfId="1038" xr:uid="{00000000-0005-0000-0000-0000FF030000}"/>
    <cellStyle name="SAPBEXHLevel1 4" xfId="1039" xr:uid="{00000000-0005-0000-0000-000000040000}"/>
    <cellStyle name="SAPBEXHLevel1 5" xfId="1040" xr:uid="{00000000-0005-0000-0000-000001040000}"/>
    <cellStyle name="SAPBEXHLevel1 6" xfId="1041" xr:uid="{00000000-0005-0000-0000-000002040000}"/>
    <cellStyle name="SAPBEXHLevel1 7" xfId="1042" xr:uid="{00000000-0005-0000-0000-000003040000}"/>
    <cellStyle name="SAPBEXHLevel1 8" xfId="1043" xr:uid="{00000000-0005-0000-0000-000004040000}"/>
    <cellStyle name="SAPBEXHLevel1 9" xfId="1044" xr:uid="{00000000-0005-0000-0000-000005040000}"/>
    <cellStyle name="SAPBEXHLevel1X" xfId="44" xr:uid="{00000000-0005-0000-0000-000006040000}"/>
    <cellStyle name="SAPBEXHLevel1X 10" xfId="1045" xr:uid="{00000000-0005-0000-0000-000007040000}"/>
    <cellStyle name="SAPBEXHLevel1X 11" xfId="1046" xr:uid="{00000000-0005-0000-0000-000008040000}"/>
    <cellStyle name="SAPBEXHLevel1X 12" xfId="1047" xr:uid="{00000000-0005-0000-0000-000009040000}"/>
    <cellStyle name="SAPBEXHLevel1X 2" xfId="1048" xr:uid="{00000000-0005-0000-0000-00000A040000}"/>
    <cellStyle name="SAPBEXHLevel1X 2 10" xfId="1049" xr:uid="{00000000-0005-0000-0000-00000B040000}"/>
    <cellStyle name="SAPBEXHLevel1X 2 2" xfId="1050" xr:uid="{00000000-0005-0000-0000-00000C040000}"/>
    <cellStyle name="SAPBEXHLevel1X 2 3" xfId="1051" xr:uid="{00000000-0005-0000-0000-00000D040000}"/>
    <cellStyle name="SAPBEXHLevel1X 2 4" xfId="1052" xr:uid="{00000000-0005-0000-0000-00000E040000}"/>
    <cellStyle name="SAPBEXHLevel1X 2 5" xfId="1053" xr:uid="{00000000-0005-0000-0000-00000F040000}"/>
    <cellStyle name="SAPBEXHLevel1X 2 6" xfId="1054" xr:uid="{00000000-0005-0000-0000-000010040000}"/>
    <cellStyle name="SAPBEXHLevel1X 2 7" xfId="1055" xr:uid="{00000000-0005-0000-0000-000011040000}"/>
    <cellStyle name="SAPBEXHLevel1X 2 8" xfId="1056" xr:uid="{00000000-0005-0000-0000-000012040000}"/>
    <cellStyle name="SAPBEXHLevel1X 2 9" xfId="1057" xr:uid="{00000000-0005-0000-0000-000013040000}"/>
    <cellStyle name="SAPBEXHLevel1X 3" xfId="1058" xr:uid="{00000000-0005-0000-0000-000014040000}"/>
    <cellStyle name="SAPBEXHLevel1X 4" xfId="1059" xr:uid="{00000000-0005-0000-0000-000015040000}"/>
    <cellStyle name="SAPBEXHLevel1X 5" xfId="1060" xr:uid="{00000000-0005-0000-0000-000016040000}"/>
    <cellStyle name="SAPBEXHLevel1X 6" xfId="1061" xr:uid="{00000000-0005-0000-0000-000017040000}"/>
    <cellStyle name="SAPBEXHLevel1X 7" xfId="1062" xr:uid="{00000000-0005-0000-0000-000018040000}"/>
    <cellStyle name="SAPBEXHLevel1X 8" xfId="1063" xr:uid="{00000000-0005-0000-0000-000019040000}"/>
    <cellStyle name="SAPBEXHLevel1X 9" xfId="1064" xr:uid="{00000000-0005-0000-0000-00001A040000}"/>
    <cellStyle name="SAPBEXHLevel2" xfId="45" xr:uid="{00000000-0005-0000-0000-00001B040000}"/>
    <cellStyle name="SAPBEXHLevel2 10" xfId="1065" xr:uid="{00000000-0005-0000-0000-00001C040000}"/>
    <cellStyle name="SAPBEXHLevel2 11" xfId="1066" xr:uid="{00000000-0005-0000-0000-00001D040000}"/>
    <cellStyle name="SAPBEXHLevel2 12" xfId="1067" xr:uid="{00000000-0005-0000-0000-00001E040000}"/>
    <cellStyle name="SAPBEXHLevel2 2" xfId="1068" xr:uid="{00000000-0005-0000-0000-00001F040000}"/>
    <cellStyle name="SAPBEXHLevel2 2 10" xfId="1069" xr:uid="{00000000-0005-0000-0000-000020040000}"/>
    <cellStyle name="SAPBEXHLevel2 2 2" xfId="1070" xr:uid="{00000000-0005-0000-0000-000021040000}"/>
    <cellStyle name="SAPBEXHLevel2 2 3" xfId="1071" xr:uid="{00000000-0005-0000-0000-000022040000}"/>
    <cellStyle name="SAPBEXHLevel2 2 4" xfId="1072" xr:uid="{00000000-0005-0000-0000-000023040000}"/>
    <cellStyle name="SAPBEXHLevel2 2 5" xfId="1073" xr:uid="{00000000-0005-0000-0000-000024040000}"/>
    <cellStyle name="SAPBEXHLevel2 2 6" xfId="1074" xr:uid="{00000000-0005-0000-0000-000025040000}"/>
    <cellStyle name="SAPBEXHLevel2 2 7" xfId="1075" xr:uid="{00000000-0005-0000-0000-000026040000}"/>
    <cellStyle name="SAPBEXHLevel2 2 8" xfId="1076" xr:uid="{00000000-0005-0000-0000-000027040000}"/>
    <cellStyle name="SAPBEXHLevel2 2 9" xfId="1077" xr:uid="{00000000-0005-0000-0000-000028040000}"/>
    <cellStyle name="SAPBEXHLevel2 3" xfId="1078" xr:uid="{00000000-0005-0000-0000-000029040000}"/>
    <cellStyle name="SAPBEXHLevel2 4" xfId="1079" xr:uid="{00000000-0005-0000-0000-00002A040000}"/>
    <cellStyle name="SAPBEXHLevel2 5" xfId="1080" xr:uid="{00000000-0005-0000-0000-00002B040000}"/>
    <cellStyle name="SAPBEXHLevel2 6" xfId="1081" xr:uid="{00000000-0005-0000-0000-00002C040000}"/>
    <cellStyle name="SAPBEXHLevel2 7" xfId="1082" xr:uid="{00000000-0005-0000-0000-00002D040000}"/>
    <cellStyle name="SAPBEXHLevel2 8" xfId="1083" xr:uid="{00000000-0005-0000-0000-00002E040000}"/>
    <cellStyle name="SAPBEXHLevel2 9" xfId="1084" xr:uid="{00000000-0005-0000-0000-00002F040000}"/>
    <cellStyle name="SAPBEXHLevel2X" xfId="46" xr:uid="{00000000-0005-0000-0000-000030040000}"/>
    <cellStyle name="SAPBEXHLevel2X 10" xfId="1085" xr:uid="{00000000-0005-0000-0000-000031040000}"/>
    <cellStyle name="SAPBEXHLevel2X 11" xfId="1086" xr:uid="{00000000-0005-0000-0000-000032040000}"/>
    <cellStyle name="SAPBEXHLevel2X 12" xfId="1087" xr:uid="{00000000-0005-0000-0000-000033040000}"/>
    <cellStyle name="SAPBEXHLevel2X 2" xfId="1088" xr:uid="{00000000-0005-0000-0000-000034040000}"/>
    <cellStyle name="SAPBEXHLevel2X 2 10" xfId="1089" xr:uid="{00000000-0005-0000-0000-000035040000}"/>
    <cellStyle name="SAPBEXHLevel2X 2 2" xfId="1090" xr:uid="{00000000-0005-0000-0000-000036040000}"/>
    <cellStyle name="SAPBEXHLevel2X 2 3" xfId="1091" xr:uid="{00000000-0005-0000-0000-000037040000}"/>
    <cellStyle name="SAPBEXHLevel2X 2 4" xfId="1092" xr:uid="{00000000-0005-0000-0000-000038040000}"/>
    <cellStyle name="SAPBEXHLevel2X 2 5" xfId="1093" xr:uid="{00000000-0005-0000-0000-000039040000}"/>
    <cellStyle name="SAPBEXHLevel2X 2 6" xfId="1094" xr:uid="{00000000-0005-0000-0000-00003A040000}"/>
    <cellStyle name="SAPBEXHLevel2X 2 7" xfId="1095" xr:uid="{00000000-0005-0000-0000-00003B040000}"/>
    <cellStyle name="SAPBEXHLevel2X 2 8" xfId="1096" xr:uid="{00000000-0005-0000-0000-00003C040000}"/>
    <cellStyle name="SAPBEXHLevel2X 2 9" xfId="1097" xr:uid="{00000000-0005-0000-0000-00003D040000}"/>
    <cellStyle name="SAPBEXHLevel2X 3" xfId="1098" xr:uid="{00000000-0005-0000-0000-00003E040000}"/>
    <cellStyle name="SAPBEXHLevel2X 4" xfId="1099" xr:uid="{00000000-0005-0000-0000-00003F040000}"/>
    <cellStyle name="SAPBEXHLevel2X 5" xfId="1100" xr:uid="{00000000-0005-0000-0000-000040040000}"/>
    <cellStyle name="SAPBEXHLevel2X 6" xfId="1101" xr:uid="{00000000-0005-0000-0000-000041040000}"/>
    <cellStyle name="SAPBEXHLevel2X 7" xfId="1102" xr:uid="{00000000-0005-0000-0000-000042040000}"/>
    <cellStyle name="SAPBEXHLevel2X 8" xfId="1103" xr:uid="{00000000-0005-0000-0000-000043040000}"/>
    <cellStyle name="SAPBEXHLevel2X 9" xfId="1104" xr:uid="{00000000-0005-0000-0000-000044040000}"/>
    <cellStyle name="SAPBEXHLevel3" xfId="47" xr:uid="{00000000-0005-0000-0000-000045040000}"/>
    <cellStyle name="SAPBEXHLevel3 10" xfId="1105" xr:uid="{00000000-0005-0000-0000-000046040000}"/>
    <cellStyle name="SAPBEXHLevel3 11" xfId="1106" xr:uid="{00000000-0005-0000-0000-000047040000}"/>
    <cellStyle name="SAPBEXHLevel3 12" xfId="1107" xr:uid="{00000000-0005-0000-0000-000048040000}"/>
    <cellStyle name="SAPBEXHLevel3 2" xfId="1108" xr:uid="{00000000-0005-0000-0000-000049040000}"/>
    <cellStyle name="SAPBEXHLevel3 2 10" xfId="1109" xr:uid="{00000000-0005-0000-0000-00004A040000}"/>
    <cellStyle name="SAPBEXHLevel3 2 2" xfId="1110" xr:uid="{00000000-0005-0000-0000-00004B040000}"/>
    <cellStyle name="SAPBEXHLevel3 2 3" xfId="1111" xr:uid="{00000000-0005-0000-0000-00004C040000}"/>
    <cellStyle name="SAPBEXHLevel3 2 4" xfId="1112" xr:uid="{00000000-0005-0000-0000-00004D040000}"/>
    <cellStyle name="SAPBEXHLevel3 2 5" xfId="1113" xr:uid="{00000000-0005-0000-0000-00004E040000}"/>
    <cellStyle name="SAPBEXHLevel3 2 6" xfId="1114" xr:uid="{00000000-0005-0000-0000-00004F040000}"/>
    <cellStyle name="SAPBEXHLevel3 2 7" xfId="1115" xr:uid="{00000000-0005-0000-0000-000050040000}"/>
    <cellStyle name="SAPBEXHLevel3 2 8" xfId="1116" xr:uid="{00000000-0005-0000-0000-000051040000}"/>
    <cellStyle name="SAPBEXHLevel3 2 9" xfId="1117" xr:uid="{00000000-0005-0000-0000-000052040000}"/>
    <cellStyle name="SAPBEXHLevel3 3" xfId="1118" xr:uid="{00000000-0005-0000-0000-000053040000}"/>
    <cellStyle name="SAPBEXHLevel3 4" xfId="1119" xr:uid="{00000000-0005-0000-0000-000054040000}"/>
    <cellStyle name="SAPBEXHLevel3 5" xfId="1120" xr:uid="{00000000-0005-0000-0000-000055040000}"/>
    <cellStyle name="SAPBEXHLevel3 6" xfId="1121" xr:uid="{00000000-0005-0000-0000-000056040000}"/>
    <cellStyle name="SAPBEXHLevel3 7" xfId="1122" xr:uid="{00000000-0005-0000-0000-000057040000}"/>
    <cellStyle name="SAPBEXHLevel3 8" xfId="1123" xr:uid="{00000000-0005-0000-0000-000058040000}"/>
    <cellStyle name="SAPBEXHLevel3 9" xfId="1124" xr:uid="{00000000-0005-0000-0000-000059040000}"/>
    <cellStyle name="SAPBEXHLevel3X" xfId="48" xr:uid="{00000000-0005-0000-0000-00005A040000}"/>
    <cellStyle name="SAPBEXHLevel3X 10" xfId="1125" xr:uid="{00000000-0005-0000-0000-00005B040000}"/>
    <cellStyle name="SAPBEXHLevel3X 11" xfId="1126" xr:uid="{00000000-0005-0000-0000-00005C040000}"/>
    <cellStyle name="SAPBEXHLevel3X 12" xfId="1127" xr:uid="{00000000-0005-0000-0000-00005D040000}"/>
    <cellStyle name="SAPBEXHLevel3X 2" xfId="1128" xr:uid="{00000000-0005-0000-0000-00005E040000}"/>
    <cellStyle name="SAPBEXHLevel3X 2 10" xfId="1129" xr:uid="{00000000-0005-0000-0000-00005F040000}"/>
    <cellStyle name="SAPBEXHLevel3X 2 2" xfId="1130" xr:uid="{00000000-0005-0000-0000-000060040000}"/>
    <cellStyle name="SAPBEXHLevel3X 2 3" xfId="1131" xr:uid="{00000000-0005-0000-0000-000061040000}"/>
    <cellStyle name="SAPBEXHLevel3X 2 4" xfId="1132" xr:uid="{00000000-0005-0000-0000-000062040000}"/>
    <cellStyle name="SAPBEXHLevel3X 2 5" xfId="1133" xr:uid="{00000000-0005-0000-0000-000063040000}"/>
    <cellStyle name="SAPBEXHLevel3X 2 6" xfId="1134" xr:uid="{00000000-0005-0000-0000-000064040000}"/>
    <cellStyle name="SAPBEXHLevel3X 2 7" xfId="1135" xr:uid="{00000000-0005-0000-0000-000065040000}"/>
    <cellStyle name="SAPBEXHLevel3X 2 8" xfId="1136" xr:uid="{00000000-0005-0000-0000-000066040000}"/>
    <cellStyle name="SAPBEXHLevel3X 2 9" xfId="1137" xr:uid="{00000000-0005-0000-0000-000067040000}"/>
    <cellStyle name="SAPBEXHLevel3X 3" xfId="1138" xr:uid="{00000000-0005-0000-0000-000068040000}"/>
    <cellStyle name="SAPBEXHLevel3X 4" xfId="1139" xr:uid="{00000000-0005-0000-0000-000069040000}"/>
    <cellStyle name="SAPBEXHLevel3X 5" xfId="1140" xr:uid="{00000000-0005-0000-0000-00006A040000}"/>
    <cellStyle name="SAPBEXHLevel3X 6" xfId="1141" xr:uid="{00000000-0005-0000-0000-00006B040000}"/>
    <cellStyle name="SAPBEXHLevel3X 7" xfId="1142" xr:uid="{00000000-0005-0000-0000-00006C040000}"/>
    <cellStyle name="SAPBEXHLevel3X 8" xfId="1143" xr:uid="{00000000-0005-0000-0000-00006D040000}"/>
    <cellStyle name="SAPBEXHLevel3X 9" xfId="1144" xr:uid="{00000000-0005-0000-0000-00006E040000}"/>
    <cellStyle name="SAPBEXchaText" xfId="10" xr:uid="{00000000-0005-0000-0000-00006F040000}"/>
    <cellStyle name="SAPBEXchaText 10" xfId="1145" xr:uid="{00000000-0005-0000-0000-000070040000}"/>
    <cellStyle name="SAPBEXchaText 11" xfId="1146" xr:uid="{00000000-0005-0000-0000-000071040000}"/>
    <cellStyle name="SAPBEXchaText 12" xfId="1147" xr:uid="{00000000-0005-0000-0000-000072040000}"/>
    <cellStyle name="SAPBEXchaText 2" xfId="1148" xr:uid="{00000000-0005-0000-0000-000073040000}"/>
    <cellStyle name="SAPBEXchaText 2 10" xfId="1149" xr:uid="{00000000-0005-0000-0000-000074040000}"/>
    <cellStyle name="SAPBEXchaText 2 11" xfId="1150" xr:uid="{00000000-0005-0000-0000-000075040000}"/>
    <cellStyle name="SAPBEXchaText 2 12" xfId="1151" xr:uid="{00000000-0005-0000-0000-000076040000}"/>
    <cellStyle name="SAPBEXchaText 2 2" xfId="1152" xr:uid="{00000000-0005-0000-0000-000077040000}"/>
    <cellStyle name="SAPBEXchaText 2 2 10" xfId="1153" xr:uid="{00000000-0005-0000-0000-000078040000}"/>
    <cellStyle name="SAPBEXchaText 2 2 2" xfId="1154" xr:uid="{00000000-0005-0000-0000-000079040000}"/>
    <cellStyle name="SAPBEXchaText 2 2 3" xfId="1155" xr:uid="{00000000-0005-0000-0000-00007A040000}"/>
    <cellStyle name="SAPBEXchaText 2 2 4" xfId="1156" xr:uid="{00000000-0005-0000-0000-00007B040000}"/>
    <cellStyle name="SAPBEXchaText 2 2 5" xfId="1157" xr:uid="{00000000-0005-0000-0000-00007C040000}"/>
    <cellStyle name="SAPBEXchaText 2 2 6" xfId="1158" xr:uid="{00000000-0005-0000-0000-00007D040000}"/>
    <cellStyle name="SAPBEXchaText 2 2 7" xfId="1159" xr:uid="{00000000-0005-0000-0000-00007E040000}"/>
    <cellStyle name="SAPBEXchaText 2 2 8" xfId="1160" xr:uid="{00000000-0005-0000-0000-00007F040000}"/>
    <cellStyle name="SAPBEXchaText 2 2 9" xfId="1161" xr:uid="{00000000-0005-0000-0000-000080040000}"/>
    <cellStyle name="SAPBEXchaText 2 3" xfId="1162" xr:uid="{00000000-0005-0000-0000-000081040000}"/>
    <cellStyle name="SAPBEXchaText 2 4" xfId="1163" xr:uid="{00000000-0005-0000-0000-000082040000}"/>
    <cellStyle name="SAPBEXchaText 2 5" xfId="1164" xr:uid="{00000000-0005-0000-0000-000083040000}"/>
    <cellStyle name="SAPBEXchaText 2 6" xfId="1165" xr:uid="{00000000-0005-0000-0000-000084040000}"/>
    <cellStyle name="SAPBEXchaText 2 7" xfId="1166" xr:uid="{00000000-0005-0000-0000-000085040000}"/>
    <cellStyle name="SAPBEXchaText 2 8" xfId="1167" xr:uid="{00000000-0005-0000-0000-000086040000}"/>
    <cellStyle name="SAPBEXchaText 2 9" xfId="1168" xr:uid="{00000000-0005-0000-0000-000087040000}"/>
    <cellStyle name="SAPBEXchaText 3" xfId="1169" xr:uid="{00000000-0005-0000-0000-000088040000}"/>
    <cellStyle name="SAPBEXchaText 3 10" xfId="1170" xr:uid="{00000000-0005-0000-0000-000089040000}"/>
    <cellStyle name="SAPBEXchaText 3 2" xfId="1171" xr:uid="{00000000-0005-0000-0000-00008A040000}"/>
    <cellStyle name="SAPBEXchaText 3 3" xfId="1172" xr:uid="{00000000-0005-0000-0000-00008B040000}"/>
    <cellStyle name="SAPBEXchaText 3 4" xfId="1173" xr:uid="{00000000-0005-0000-0000-00008C040000}"/>
    <cellStyle name="SAPBEXchaText 3 5" xfId="1174" xr:uid="{00000000-0005-0000-0000-00008D040000}"/>
    <cellStyle name="SAPBEXchaText 3 6" xfId="1175" xr:uid="{00000000-0005-0000-0000-00008E040000}"/>
    <cellStyle name="SAPBEXchaText 3 7" xfId="1176" xr:uid="{00000000-0005-0000-0000-00008F040000}"/>
    <cellStyle name="SAPBEXchaText 3 8" xfId="1177" xr:uid="{00000000-0005-0000-0000-000090040000}"/>
    <cellStyle name="SAPBEXchaText 3 9" xfId="1178" xr:uid="{00000000-0005-0000-0000-000091040000}"/>
    <cellStyle name="SAPBEXchaText 4" xfId="1179" xr:uid="{00000000-0005-0000-0000-000092040000}"/>
    <cellStyle name="SAPBEXchaText 5" xfId="1180" xr:uid="{00000000-0005-0000-0000-000093040000}"/>
    <cellStyle name="SAPBEXchaText 6" xfId="1181" xr:uid="{00000000-0005-0000-0000-000094040000}"/>
    <cellStyle name="SAPBEXchaText 7" xfId="1182" xr:uid="{00000000-0005-0000-0000-000095040000}"/>
    <cellStyle name="SAPBEXchaText 8" xfId="1183" xr:uid="{00000000-0005-0000-0000-000096040000}"/>
    <cellStyle name="SAPBEXchaText 9" xfId="1184" xr:uid="{00000000-0005-0000-0000-000097040000}"/>
    <cellStyle name="SAPBEXchaText_Výkaz 13-D3a _2011_jk" xfId="1185" xr:uid="{00000000-0005-0000-0000-000098040000}"/>
    <cellStyle name="SAPBEXinputData" xfId="1186" xr:uid="{00000000-0005-0000-0000-000099040000}"/>
    <cellStyle name="SAPBEXinputData 2" xfId="1187" xr:uid="{00000000-0005-0000-0000-00009A040000}"/>
    <cellStyle name="SAPBEXItemHeader" xfId="1188" xr:uid="{00000000-0005-0000-0000-00009B040000}"/>
    <cellStyle name="SAPBEXItemHeader 10" xfId="1189" xr:uid="{00000000-0005-0000-0000-00009C040000}"/>
    <cellStyle name="SAPBEXItemHeader 11" xfId="1190" xr:uid="{00000000-0005-0000-0000-00009D040000}"/>
    <cellStyle name="SAPBEXItemHeader 2" xfId="1191" xr:uid="{00000000-0005-0000-0000-00009E040000}"/>
    <cellStyle name="SAPBEXItemHeader 2 10" xfId="1192" xr:uid="{00000000-0005-0000-0000-00009F040000}"/>
    <cellStyle name="SAPBEXItemHeader 2 2" xfId="1193" xr:uid="{00000000-0005-0000-0000-0000A0040000}"/>
    <cellStyle name="SAPBEXItemHeader 2 3" xfId="1194" xr:uid="{00000000-0005-0000-0000-0000A1040000}"/>
    <cellStyle name="SAPBEXItemHeader 2 4" xfId="1195" xr:uid="{00000000-0005-0000-0000-0000A2040000}"/>
    <cellStyle name="SAPBEXItemHeader 2 5" xfId="1196" xr:uid="{00000000-0005-0000-0000-0000A3040000}"/>
    <cellStyle name="SAPBEXItemHeader 2 6" xfId="1197" xr:uid="{00000000-0005-0000-0000-0000A4040000}"/>
    <cellStyle name="SAPBEXItemHeader 2 7" xfId="1198" xr:uid="{00000000-0005-0000-0000-0000A5040000}"/>
    <cellStyle name="SAPBEXItemHeader 2 8" xfId="1199" xr:uid="{00000000-0005-0000-0000-0000A6040000}"/>
    <cellStyle name="SAPBEXItemHeader 2 9" xfId="1200" xr:uid="{00000000-0005-0000-0000-0000A7040000}"/>
    <cellStyle name="SAPBEXItemHeader 3" xfId="1201" xr:uid="{00000000-0005-0000-0000-0000A8040000}"/>
    <cellStyle name="SAPBEXItemHeader 4" xfId="1202" xr:uid="{00000000-0005-0000-0000-0000A9040000}"/>
    <cellStyle name="SAPBEXItemHeader 5" xfId="1203" xr:uid="{00000000-0005-0000-0000-0000AA040000}"/>
    <cellStyle name="SAPBEXItemHeader 6" xfId="1204" xr:uid="{00000000-0005-0000-0000-0000AB040000}"/>
    <cellStyle name="SAPBEXItemHeader 7" xfId="1205" xr:uid="{00000000-0005-0000-0000-0000AC040000}"/>
    <cellStyle name="SAPBEXItemHeader 8" xfId="1206" xr:uid="{00000000-0005-0000-0000-0000AD040000}"/>
    <cellStyle name="SAPBEXItemHeader 9" xfId="1207" xr:uid="{00000000-0005-0000-0000-0000AE040000}"/>
    <cellStyle name="SAPBEXresData" xfId="49" xr:uid="{00000000-0005-0000-0000-0000AF040000}"/>
    <cellStyle name="SAPBEXresData 10" xfId="1208" xr:uid="{00000000-0005-0000-0000-0000B0040000}"/>
    <cellStyle name="SAPBEXresData 11" xfId="1209" xr:uid="{00000000-0005-0000-0000-0000B1040000}"/>
    <cellStyle name="SAPBEXresData 12" xfId="1210" xr:uid="{00000000-0005-0000-0000-0000B2040000}"/>
    <cellStyle name="SAPBEXresData 2" xfId="1211" xr:uid="{00000000-0005-0000-0000-0000B3040000}"/>
    <cellStyle name="SAPBEXresData 2 10" xfId="1212" xr:uid="{00000000-0005-0000-0000-0000B4040000}"/>
    <cellStyle name="SAPBEXresData 2 2" xfId="1213" xr:uid="{00000000-0005-0000-0000-0000B5040000}"/>
    <cellStyle name="SAPBEXresData 2 3" xfId="1214" xr:uid="{00000000-0005-0000-0000-0000B6040000}"/>
    <cellStyle name="SAPBEXresData 2 4" xfId="1215" xr:uid="{00000000-0005-0000-0000-0000B7040000}"/>
    <cellStyle name="SAPBEXresData 2 5" xfId="1216" xr:uid="{00000000-0005-0000-0000-0000B8040000}"/>
    <cellStyle name="SAPBEXresData 2 6" xfId="1217" xr:uid="{00000000-0005-0000-0000-0000B9040000}"/>
    <cellStyle name="SAPBEXresData 2 7" xfId="1218" xr:uid="{00000000-0005-0000-0000-0000BA040000}"/>
    <cellStyle name="SAPBEXresData 2 8" xfId="1219" xr:uid="{00000000-0005-0000-0000-0000BB040000}"/>
    <cellStyle name="SAPBEXresData 2 9" xfId="1220" xr:uid="{00000000-0005-0000-0000-0000BC040000}"/>
    <cellStyle name="SAPBEXresData 3" xfId="1221" xr:uid="{00000000-0005-0000-0000-0000BD040000}"/>
    <cellStyle name="SAPBEXresData 4" xfId="1222" xr:uid="{00000000-0005-0000-0000-0000BE040000}"/>
    <cellStyle name="SAPBEXresData 5" xfId="1223" xr:uid="{00000000-0005-0000-0000-0000BF040000}"/>
    <cellStyle name="SAPBEXresData 6" xfId="1224" xr:uid="{00000000-0005-0000-0000-0000C0040000}"/>
    <cellStyle name="SAPBEXresData 7" xfId="1225" xr:uid="{00000000-0005-0000-0000-0000C1040000}"/>
    <cellStyle name="SAPBEXresData 8" xfId="1226" xr:uid="{00000000-0005-0000-0000-0000C2040000}"/>
    <cellStyle name="SAPBEXresData 9" xfId="1227" xr:uid="{00000000-0005-0000-0000-0000C3040000}"/>
    <cellStyle name="SAPBEXresDataEmph" xfId="50" xr:uid="{00000000-0005-0000-0000-0000C4040000}"/>
    <cellStyle name="SAPBEXresDataEmph 2" xfId="1228" xr:uid="{00000000-0005-0000-0000-0000C5040000}"/>
    <cellStyle name="SAPBEXresDataEmph 2 2" xfId="1229" xr:uid="{00000000-0005-0000-0000-0000C6040000}"/>
    <cellStyle name="SAPBEXresDataEmph 2 3" xfId="1230" xr:uid="{00000000-0005-0000-0000-0000C7040000}"/>
    <cellStyle name="SAPBEXresDataEmph 2 4" xfId="1231" xr:uid="{00000000-0005-0000-0000-0000C8040000}"/>
    <cellStyle name="SAPBEXresDataEmph 2 5" xfId="1232" xr:uid="{00000000-0005-0000-0000-0000C9040000}"/>
    <cellStyle name="SAPBEXresDataEmph 2 6" xfId="1233" xr:uid="{00000000-0005-0000-0000-0000CA040000}"/>
    <cellStyle name="SAPBEXresDataEmph 2 7" xfId="1234" xr:uid="{00000000-0005-0000-0000-0000CB040000}"/>
    <cellStyle name="SAPBEXresDataEmph 3" xfId="1235" xr:uid="{00000000-0005-0000-0000-0000CC040000}"/>
    <cellStyle name="SAPBEXresDataEmph 4" xfId="1236" xr:uid="{00000000-0005-0000-0000-0000CD040000}"/>
    <cellStyle name="SAPBEXresDataEmph 5" xfId="1237" xr:uid="{00000000-0005-0000-0000-0000CE040000}"/>
    <cellStyle name="SAPBEXresDataEmph 6" xfId="1238" xr:uid="{00000000-0005-0000-0000-0000CF040000}"/>
    <cellStyle name="SAPBEXresDataEmph 7" xfId="1239" xr:uid="{00000000-0005-0000-0000-0000D0040000}"/>
    <cellStyle name="SAPBEXresDataEmph 8" xfId="1240" xr:uid="{00000000-0005-0000-0000-0000D1040000}"/>
    <cellStyle name="SAPBEXresDataEmph 9" xfId="1241" xr:uid="{00000000-0005-0000-0000-0000D2040000}"/>
    <cellStyle name="SAPBEXresItem" xfId="51" xr:uid="{00000000-0005-0000-0000-0000D3040000}"/>
    <cellStyle name="SAPBEXresItem 10" xfId="1242" xr:uid="{00000000-0005-0000-0000-0000D4040000}"/>
    <cellStyle name="SAPBEXresItem 11" xfId="1243" xr:uid="{00000000-0005-0000-0000-0000D5040000}"/>
    <cellStyle name="SAPBEXresItem 12" xfId="1244" xr:uid="{00000000-0005-0000-0000-0000D6040000}"/>
    <cellStyle name="SAPBEXresItem 2" xfId="1245" xr:uid="{00000000-0005-0000-0000-0000D7040000}"/>
    <cellStyle name="SAPBEXresItem 2 10" xfId="1246" xr:uid="{00000000-0005-0000-0000-0000D8040000}"/>
    <cellStyle name="SAPBEXresItem 2 2" xfId="1247" xr:uid="{00000000-0005-0000-0000-0000D9040000}"/>
    <cellStyle name="SAPBEXresItem 2 3" xfId="1248" xr:uid="{00000000-0005-0000-0000-0000DA040000}"/>
    <cellStyle name="SAPBEXresItem 2 4" xfId="1249" xr:uid="{00000000-0005-0000-0000-0000DB040000}"/>
    <cellStyle name="SAPBEXresItem 2 5" xfId="1250" xr:uid="{00000000-0005-0000-0000-0000DC040000}"/>
    <cellStyle name="SAPBEXresItem 2 6" xfId="1251" xr:uid="{00000000-0005-0000-0000-0000DD040000}"/>
    <cellStyle name="SAPBEXresItem 2 7" xfId="1252" xr:uid="{00000000-0005-0000-0000-0000DE040000}"/>
    <cellStyle name="SAPBEXresItem 2 8" xfId="1253" xr:uid="{00000000-0005-0000-0000-0000DF040000}"/>
    <cellStyle name="SAPBEXresItem 2 9" xfId="1254" xr:uid="{00000000-0005-0000-0000-0000E0040000}"/>
    <cellStyle name="SAPBEXresItem 3" xfId="1255" xr:uid="{00000000-0005-0000-0000-0000E1040000}"/>
    <cellStyle name="SAPBEXresItem 4" xfId="1256" xr:uid="{00000000-0005-0000-0000-0000E2040000}"/>
    <cellStyle name="SAPBEXresItem 5" xfId="1257" xr:uid="{00000000-0005-0000-0000-0000E3040000}"/>
    <cellStyle name="SAPBEXresItem 6" xfId="1258" xr:uid="{00000000-0005-0000-0000-0000E4040000}"/>
    <cellStyle name="SAPBEXresItem 7" xfId="1259" xr:uid="{00000000-0005-0000-0000-0000E5040000}"/>
    <cellStyle name="SAPBEXresItem 8" xfId="1260" xr:uid="{00000000-0005-0000-0000-0000E6040000}"/>
    <cellStyle name="SAPBEXresItem 9" xfId="1261" xr:uid="{00000000-0005-0000-0000-0000E7040000}"/>
    <cellStyle name="SAPBEXresItemX" xfId="52" xr:uid="{00000000-0005-0000-0000-0000E8040000}"/>
    <cellStyle name="SAPBEXresItemX 10" xfId="1262" xr:uid="{00000000-0005-0000-0000-0000E9040000}"/>
    <cellStyle name="SAPBEXresItemX 11" xfId="1263" xr:uid="{00000000-0005-0000-0000-0000EA040000}"/>
    <cellStyle name="SAPBEXresItemX 12" xfId="1264" xr:uid="{00000000-0005-0000-0000-0000EB040000}"/>
    <cellStyle name="SAPBEXresItemX 2" xfId="1265" xr:uid="{00000000-0005-0000-0000-0000EC040000}"/>
    <cellStyle name="SAPBEXresItemX 2 10" xfId="1266" xr:uid="{00000000-0005-0000-0000-0000ED040000}"/>
    <cellStyle name="SAPBEXresItemX 2 2" xfId="1267" xr:uid="{00000000-0005-0000-0000-0000EE040000}"/>
    <cellStyle name="SAPBEXresItemX 2 3" xfId="1268" xr:uid="{00000000-0005-0000-0000-0000EF040000}"/>
    <cellStyle name="SAPBEXresItemX 2 4" xfId="1269" xr:uid="{00000000-0005-0000-0000-0000F0040000}"/>
    <cellStyle name="SAPBEXresItemX 2 5" xfId="1270" xr:uid="{00000000-0005-0000-0000-0000F1040000}"/>
    <cellStyle name="SAPBEXresItemX 2 6" xfId="1271" xr:uid="{00000000-0005-0000-0000-0000F2040000}"/>
    <cellStyle name="SAPBEXresItemX 2 7" xfId="1272" xr:uid="{00000000-0005-0000-0000-0000F3040000}"/>
    <cellStyle name="SAPBEXresItemX 2 8" xfId="1273" xr:uid="{00000000-0005-0000-0000-0000F4040000}"/>
    <cellStyle name="SAPBEXresItemX 2 9" xfId="1274" xr:uid="{00000000-0005-0000-0000-0000F5040000}"/>
    <cellStyle name="SAPBEXresItemX 3" xfId="1275" xr:uid="{00000000-0005-0000-0000-0000F6040000}"/>
    <cellStyle name="SAPBEXresItemX 4" xfId="1276" xr:uid="{00000000-0005-0000-0000-0000F7040000}"/>
    <cellStyle name="SAPBEXresItemX 5" xfId="1277" xr:uid="{00000000-0005-0000-0000-0000F8040000}"/>
    <cellStyle name="SAPBEXresItemX 6" xfId="1278" xr:uid="{00000000-0005-0000-0000-0000F9040000}"/>
    <cellStyle name="SAPBEXresItemX 7" xfId="1279" xr:uid="{00000000-0005-0000-0000-0000FA040000}"/>
    <cellStyle name="SAPBEXresItemX 8" xfId="1280" xr:uid="{00000000-0005-0000-0000-0000FB040000}"/>
    <cellStyle name="SAPBEXresItemX 9" xfId="1281" xr:uid="{00000000-0005-0000-0000-0000FC040000}"/>
    <cellStyle name="SAPBEXstdData" xfId="11" xr:uid="{00000000-0005-0000-0000-0000FD040000}"/>
    <cellStyle name="SAPBEXstdData 10" xfId="1282" xr:uid="{00000000-0005-0000-0000-0000FE040000}"/>
    <cellStyle name="SAPBEXstdData 11" xfId="1283" xr:uid="{00000000-0005-0000-0000-0000FF040000}"/>
    <cellStyle name="SAPBEXstdData 12" xfId="1284" xr:uid="{00000000-0005-0000-0000-000000050000}"/>
    <cellStyle name="SAPBEXstdData 2" xfId="1285" xr:uid="{00000000-0005-0000-0000-000001050000}"/>
    <cellStyle name="SAPBEXstdData 2 10" xfId="1286" xr:uid="{00000000-0005-0000-0000-000002050000}"/>
    <cellStyle name="SAPBEXstdData 2 11" xfId="1287" xr:uid="{00000000-0005-0000-0000-000003050000}"/>
    <cellStyle name="SAPBEXstdData 2 12" xfId="1288" xr:uid="{00000000-0005-0000-0000-000004050000}"/>
    <cellStyle name="SAPBEXstdData 2 2" xfId="1289" xr:uid="{00000000-0005-0000-0000-000005050000}"/>
    <cellStyle name="SAPBEXstdData 2 2 10" xfId="1290" xr:uid="{00000000-0005-0000-0000-000006050000}"/>
    <cellStyle name="SAPBEXstdData 2 2 2" xfId="1291" xr:uid="{00000000-0005-0000-0000-000007050000}"/>
    <cellStyle name="SAPBEXstdData 2 2 3" xfId="1292" xr:uid="{00000000-0005-0000-0000-000008050000}"/>
    <cellStyle name="SAPBEXstdData 2 2 4" xfId="1293" xr:uid="{00000000-0005-0000-0000-000009050000}"/>
    <cellStyle name="SAPBEXstdData 2 2 5" xfId="1294" xr:uid="{00000000-0005-0000-0000-00000A050000}"/>
    <cellStyle name="SAPBEXstdData 2 2 6" xfId="1295" xr:uid="{00000000-0005-0000-0000-00000B050000}"/>
    <cellStyle name="SAPBEXstdData 2 2 7" xfId="1296" xr:uid="{00000000-0005-0000-0000-00000C050000}"/>
    <cellStyle name="SAPBEXstdData 2 2 8" xfId="1297" xr:uid="{00000000-0005-0000-0000-00000D050000}"/>
    <cellStyle name="SAPBEXstdData 2 2 9" xfId="1298" xr:uid="{00000000-0005-0000-0000-00000E050000}"/>
    <cellStyle name="SAPBEXstdData 2 3" xfId="1299" xr:uid="{00000000-0005-0000-0000-00000F050000}"/>
    <cellStyle name="SAPBEXstdData 2 4" xfId="1300" xr:uid="{00000000-0005-0000-0000-000010050000}"/>
    <cellStyle name="SAPBEXstdData 2 5" xfId="1301" xr:uid="{00000000-0005-0000-0000-000011050000}"/>
    <cellStyle name="SAPBEXstdData 2 6" xfId="1302" xr:uid="{00000000-0005-0000-0000-000012050000}"/>
    <cellStyle name="SAPBEXstdData 2 7" xfId="1303" xr:uid="{00000000-0005-0000-0000-000013050000}"/>
    <cellStyle name="SAPBEXstdData 2 8" xfId="1304" xr:uid="{00000000-0005-0000-0000-000014050000}"/>
    <cellStyle name="SAPBEXstdData 2 9" xfId="1305" xr:uid="{00000000-0005-0000-0000-000015050000}"/>
    <cellStyle name="SAPBEXstdData 3" xfId="1306" xr:uid="{00000000-0005-0000-0000-000016050000}"/>
    <cellStyle name="SAPBEXstdData 3 10" xfId="1307" xr:uid="{00000000-0005-0000-0000-000017050000}"/>
    <cellStyle name="SAPBEXstdData 3 2" xfId="1308" xr:uid="{00000000-0005-0000-0000-000018050000}"/>
    <cellStyle name="SAPBEXstdData 3 3" xfId="1309" xr:uid="{00000000-0005-0000-0000-000019050000}"/>
    <cellStyle name="SAPBEXstdData 3 4" xfId="1310" xr:uid="{00000000-0005-0000-0000-00001A050000}"/>
    <cellStyle name="SAPBEXstdData 3 5" xfId="1311" xr:uid="{00000000-0005-0000-0000-00001B050000}"/>
    <cellStyle name="SAPBEXstdData 3 6" xfId="1312" xr:uid="{00000000-0005-0000-0000-00001C050000}"/>
    <cellStyle name="SAPBEXstdData 3 7" xfId="1313" xr:uid="{00000000-0005-0000-0000-00001D050000}"/>
    <cellStyle name="SAPBEXstdData 3 8" xfId="1314" xr:uid="{00000000-0005-0000-0000-00001E050000}"/>
    <cellStyle name="SAPBEXstdData 3 9" xfId="1315" xr:uid="{00000000-0005-0000-0000-00001F050000}"/>
    <cellStyle name="SAPBEXstdData 4" xfId="1316" xr:uid="{00000000-0005-0000-0000-000020050000}"/>
    <cellStyle name="SAPBEXstdData 5" xfId="1317" xr:uid="{00000000-0005-0000-0000-000021050000}"/>
    <cellStyle name="SAPBEXstdData 6" xfId="1318" xr:uid="{00000000-0005-0000-0000-000022050000}"/>
    <cellStyle name="SAPBEXstdData 7" xfId="1319" xr:uid="{00000000-0005-0000-0000-000023050000}"/>
    <cellStyle name="SAPBEXstdData 8" xfId="1320" xr:uid="{00000000-0005-0000-0000-000024050000}"/>
    <cellStyle name="SAPBEXstdData 9" xfId="1321" xr:uid="{00000000-0005-0000-0000-000025050000}"/>
    <cellStyle name="SAPBEXstdDataEmph" xfId="53" xr:uid="{00000000-0005-0000-0000-000026050000}"/>
    <cellStyle name="SAPBEXstdDataEmph 10" xfId="1322" xr:uid="{00000000-0005-0000-0000-000027050000}"/>
    <cellStyle name="SAPBEXstdDataEmph 11" xfId="1323" xr:uid="{00000000-0005-0000-0000-000028050000}"/>
    <cellStyle name="SAPBEXstdDataEmph 12" xfId="1324" xr:uid="{00000000-0005-0000-0000-000029050000}"/>
    <cellStyle name="SAPBEXstdDataEmph 2" xfId="1325" xr:uid="{00000000-0005-0000-0000-00002A050000}"/>
    <cellStyle name="SAPBEXstdDataEmph 2 10" xfId="1326" xr:uid="{00000000-0005-0000-0000-00002B050000}"/>
    <cellStyle name="SAPBEXstdDataEmph 2 2" xfId="1327" xr:uid="{00000000-0005-0000-0000-00002C050000}"/>
    <cellStyle name="SAPBEXstdDataEmph 2 3" xfId="1328" xr:uid="{00000000-0005-0000-0000-00002D050000}"/>
    <cellStyle name="SAPBEXstdDataEmph 2 4" xfId="1329" xr:uid="{00000000-0005-0000-0000-00002E050000}"/>
    <cellStyle name="SAPBEXstdDataEmph 2 5" xfId="1330" xr:uid="{00000000-0005-0000-0000-00002F050000}"/>
    <cellStyle name="SAPBEXstdDataEmph 2 6" xfId="1331" xr:uid="{00000000-0005-0000-0000-000030050000}"/>
    <cellStyle name="SAPBEXstdDataEmph 2 7" xfId="1332" xr:uid="{00000000-0005-0000-0000-000031050000}"/>
    <cellStyle name="SAPBEXstdDataEmph 2 8" xfId="1333" xr:uid="{00000000-0005-0000-0000-000032050000}"/>
    <cellStyle name="SAPBEXstdDataEmph 2 9" xfId="1334" xr:uid="{00000000-0005-0000-0000-000033050000}"/>
    <cellStyle name="SAPBEXstdDataEmph 3" xfId="1335" xr:uid="{00000000-0005-0000-0000-000034050000}"/>
    <cellStyle name="SAPBEXstdDataEmph 4" xfId="1336" xr:uid="{00000000-0005-0000-0000-000035050000}"/>
    <cellStyle name="SAPBEXstdDataEmph 5" xfId="1337" xr:uid="{00000000-0005-0000-0000-000036050000}"/>
    <cellStyle name="SAPBEXstdDataEmph 6" xfId="1338" xr:uid="{00000000-0005-0000-0000-000037050000}"/>
    <cellStyle name="SAPBEXstdDataEmph 7" xfId="1339" xr:uid="{00000000-0005-0000-0000-000038050000}"/>
    <cellStyle name="SAPBEXstdDataEmph 8" xfId="1340" xr:uid="{00000000-0005-0000-0000-000039050000}"/>
    <cellStyle name="SAPBEXstdDataEmph 9" xfId="1341" xr:uid="{00000000-0005-0000-0000-00003A050000}"/>
    <cellStyle name="SAPBEXstdItem" xfId="12" xr:uid="{00000000-0005-0000-0000-00003B050000}"/>
    <cellStyle name="SAPBEXstdItem 10" xfId="1342" xr:uid="{00000000-0005-0000-0000-00003C050000}"/>
    <cellStyle name="SAPBEXstdItem 11" xfId="1343" xr:uid="{00000000-0005-0000-0000-00003D050000}"/>
    <cellStyle name="SAPBEXstdItem 12" xfId="1344" xr:uid="{00000000-0005-0000-0000-00003E050000}"/>
    <cellStyle name="SAPBEXstdItem 2" xfId="1345" xr:uid="{00000000-0005-0000-0000-00003F050000}"/>
    <cellStyle name="SAPBEXstdItem 2 10" xfId="1346" xr:uid="{00000000-0005-0000-0000-000040050000}"/>
    <cellStyle name="SAPBEXstdItem 2 11" xfId="1347" xr:uid="{00000000-0005-0000-0000-000041050000}"/>
    <cellStyle name="SAPBEXstdItem 2 12" xfId="1348" xr:uid="{00000000-0005-0000-0000-000042050000}"/>
    <cellStyle name="SAPBEXstdItem 2 2" xfId="1349" xr:uid="{00000000-0005-0000-0000-000043050000}"/>
    <cellStyle name="SAPBEXstdItem 2 2 10" xfId="1350" xr:uid="{00000000-0005-0000-0000-000044050000}"/>
    <cellStyle name="SAPBEXstdItem 2 2 2" xfId="1351" xr:uid="{00000000-0005-0000-0000-000045050000}"/>
    <cellStyle name="SAPBEXstdItem 2 2 3" xfId="1352" xr:uid="{00000000-0005-0000-0000-000046050000}"/>
    <cellStyle name="SAPBEXstdItem 2 2 4" xfId="1353" xr:uid="{00000000-0005-0000-0000-000047050000}"/>
    <cellStyle name="SAPBEXstdItem 2 2 5" xfId="1354" xr:uid="{00000000-0005-0000-0000-000048050000}"/>
    <cellStyle name="SAPBEXstdItem 2 2 6" xfId="1355" xr:uid="{00000000-0005-0000-0000-000049050000}"/>
    <cellStyle name="SAPBEXstdItem 2 2 7" xfId="1356" xr:uid="{00000000-0005-0000-0000-00004A050000}"/>
    <cellStyle name="SAPBEXstdItem 2 2 8" xfId="1357" xr:uid="{00000000-0005-0000-0000-00004B050000}"/>
    <cellStyle name="SAPBEXstdItem 2 2 9" xfId="1358" xr:uid="{00000000-0005-0000-0000-00004C050000}"/>
    <cellStyle name="SAPBEXstdItem 2 3" xfId="1359" xr:uid="{00000000-0005-0000-0000-00004D050000}"/>
    <cellStyle name="SAPBEXstdItem 2 4" xfId="1360" xr:uid="{00000000-0005-0000-0000-00004E050000}"/>
    <cellStyle name="SAPBEXstdItem 2 5" xfId="1361" xr:uid="{00000000-0005-0000-0000-00004F050000}"/>
    <cellStyle name="SAPBEXstdItem 2 6" xfId="1362" xr:uid="{00000000-0005-0000-0000-000050050000}"/>
    <cellStyle name="SAPBEXstdItem 2 7" xfId="1363" xr:uid="{00000000-0005-0000-0000-000051050000}"/>
    <cellStyle name="SAPBEXstdItem 2 8" xfId="1364" xr:uid="{00000000-0005-0000-0000-000052050000}"/>
    <cellStyle name="SAPBEXstdItem 2 9" xfId="1365" xr:uid="{00000000-0005-0000-0000-000053050000}"/>
    <cellStyle name="SAPBEXstdItem 3" xfId="1366" xr:uid="{00000000-0005-0000-0000-000054050000}"/>
    <cellStyle name="SAPBEXstdItem 3 10" xfId="1367" xr:uid="{00000000-0005-0000-0000-000055050000}"/>
    <cellStyle name="SAPBEXstdItem 3 2" xfId="1368" xr:uid="{00000000-0005-0000-0000-000056050000}"/>
    <cellStyle name="SAPBEXstdItem 3 3" xfId="1369" xr:uid="{00000000-0005-0000-0000-000057050000}"/>
    <cellStyle name="SAPBEXstdItem 3 4" xfId="1370" xr:uid="{00000000-0005-0000-0000-000058050000}"/>
    <cellStyle name="SAPBEXstdItem 3 5" xfId="1371" xr:uid="{00000000-0005-0000-0000-000059050000}"/>
    <cellStyle name="SAPBEXstdItem 3 6" xfId="1372" xr:uid="{00000000-0005-0000-0000-00005A050000}"/>
    <cellStyle name="SAPBEXstdItem 3 7" xfId="1373" xr:uid="{00000000-0005-0000-0000-00005B050000}"/>
    <cellStyle name="SAPBEXstdItem 3 8" xfId="1374" xr:uid="{00000000-0005-0000-0000-00005C050000}"/>
    <cellStyle name="SAPBEXstdItem 3 9" xfId="1375" xr:uid="{00000000-0005-0000-0000-00005D050000}"/>
    <cellStyle name="SAPBEXstdItem 4" xfId="1376" xr:uid="{00000000-0005-0000-0000-00005E050000}"/>
    <cellStyle name="SAPBEXstdItem 4 2" xfId="1377" xr:uid="{00000000-0005-0000-0000-00005F050000}"/>
    <cellStyle name="SAPBEXstdItem 5" xfId="1378" xr:uid="{00000000-0005-0000-0000-000060050000}"/>
    <cellStyle name="SAPBEXstdItem 6" xfId="1379" xr:uid="{00000000-0005-0000-0000-000061050000}"/>
    <cellStyle name="SAPBEXstdItem 7" xfId="1380" xr:uid="{00000000-0005-0000-0000-000062050000}"/>
    <cellStyle name="SAPBEXstdItem 8" xfId="1381" xr:uid="{00000000-0005-0000-0000-000063050000}"/>
    <cellStyle name="SAPBEXstdItem 9" xfId="1382" xr:uid="{00000000-0005-0000-0000-000064050000}"/>
    <cellStyle name="SAPBEXstdItem_Výkaz 13-D3a _2011_jk" xfId="1383" xr:uid="{00000000-0005-0000-0000-000065050000}"/>
    <cellStyle name="SAPBEXstdItemX" xfId="54" xr:uid="{00000000-0005-0000-0000-000066050000}"/>
    <cellStyle name="SAPBEXstdItemX 10" xfId="1384" xr:uid="{00000000-0005-0000-0000-000067050000}"/>
    <cellStyle name="SAPBEXstdItemX 11" xfId="1385" xr:uid="{00000000-0005-0000-0000-000068050000}"/>
    <cellStyle name="SAPBEXstdItemX 12" xfId="1386" xr:uid="{00000000-0005-0000-0000-000069050000}"/>
    <cellStyle name="SAPBEXstdItemX 13" xfId="1387" xr:uid="{00000000-0005-0000-0000-00006A050000}"/>
    <cellStyle name="SAPBEXstdItemX 2" xfId="1388" xr:uid="{00000000-0005-0000-0000-00006B050000}"/>
    <cellStyle name="SAPBEXstdItemX 2 10" xfId="1389" xr:uid="{00000000-0005-0000-0000-00006C050000}"/>
    <cellStyle name="SAPBEXstdItemX 2 11" xfId="1390" xr:uid="{00000000-0005-0000-0000-00006D050000}"/>
    <cellStyle name="SAPBEXstdItemX 2 2" xfId="1391" xr:uid="{00000000-0005-0000-0000-00006E050000}"/>
    <cellStyle name="SAPBEXstdItemX 2 2 10" xfId="1392" xr:uid="{00000000-0005-0000-0000-00006F050000}"/>
    <cellStyle name="SAPBEXstdItemX 2 2 2" xfId="1393" xr:uid="{00000000-0005-0000-0000-000070050000}"/>
    <cellStyle name="SAPBEXstdItemX 2 2 3" xfId="1394" xr:uid="{00000000-0005-0000-0000-000071050000}"/>
    <cellStyle name="SAPBEXstdItemX 2 2 4" xfId="1395" xr:uid="{00000000-0005-0000-0000-000072050000}"/>
    <cellStyle name="SAPBEXstdItemX 2 2 5" xfId="1396" xr:uid="{00000000-0005-0000-0000-000073050000}"/>
    <cellStyle name="SAPBEXstdItemX 2 2 6" xfId="1397" xr:uid="{00000000-0005-0000-0000-000074050000}"/>
    <cellStyle name="SAPBEXstdItemX 2 2 7" xfId="1398" xr:uid="{00000000-0005-0000-0000-000075050000}"/>
    <cellStyle name="SAPBEXstdItemX 2 2 8" xfId="1399" xr:uid="{00000000-0005-0000-0000-000076050000}"/>
    <cellStyle name="SAPBEXstdItemX 2 2 9" xfId="1400" xr:uid="{00000000-0005-0000-0000-000077050000}"/>
    <cellStyle name="SAPBEXstdItemX 2 3" xfId="1401" xr:uid="{00000000-0005-0000-0000-000078050000}"/>
    <cellStyle name="SAPBEXstdItemX 2 4" xfId="1402" xr:uid="{00000000-0005-0000-0000-000079050000}"/>
    <cellStyle name="SAPBEXstdItemX 2 5" xfId="1403" xr:uid="{00000000-0005-0000-0000-00007A050000}"/>
    <cellStyle name="SAPBEXstdItemX 2 6" xfId="1404" xr:uid="{00000000-0005-0000-0000-00007B050000}"/>
    <cellStyle name="SAPBEXstdItemX 2 7" xfId="1405" xr:uid="{00000000-0005-0000-0000-00007C050000}"/>
    <cellStyle name="SAPBEXstdItemX 2 8" xfId="1406" xr:uid="{00000000-0005-0000-0000-00007D050000}"/>
    <cellStyle name="SAPBEXstdItemX 2 9" xfId="1407" xr:uid="{00000000-0005-0000-0000-00007E050000}"/>
    <cellStyle name="SAPBEXstdItemX 3" xfId="1408" xr:uid="{00000000-0005-0000-0000-00007F050000}"/>
    <cellStyle name="SAPBEXstdItemX 3 10" xfId="1409" xr:uid="{00000000-0005-0000-0000-000080050000}"/>
    <cellStyle name="SAPBEXstdItemX 3 2" xfId="1410" xr:uid="{00000000-0005-0000-0000-000081050000}"/>
    <cellStyle name="SAPBEXstdItemX 3 3" xfId="1411" xr:uid="{00000000-0005-0000-0000-000082050000}"/>
    <cellStyle name="SAPBEXstdItemX 3 4" xfId="1412" xr:uid="{00000000-0005-0000-0000-000083050000}"/>
    <cellStyle name="SAPBEXstdItemX 3 5" xfId="1413" xr:uid="{00000000-0005-0000-0000-000084050000}"/>
    <cellStyle name="SAPBEXstdItemX 3 6" xfId="1414" xr:uid="{00000000-0005-0000-0000-000085050000}"/>
    <cellStyle name="SAPBEXstdItemX 3 7" xfId="1415" xr:uid="{00000000-0005-0000-0000-000086050000}"/>
    <cellStyle name="SAPBEXstdItemX 3 8" xfId="1416" xr:uid="{00000000-0005-0000-0000-000087050000}"/>
    <cellStyle name="SAPBEXstdItemX 3 9" xfId="1417" xr:uid="{00000000-0005-0000-0000-000088050000}"/>
    <cellStyle name="SAPBEXstdItemX 4" xfId="1418" xr:uid="{00000000-0005-0000-0000-000089050000}"/>
    <cellStyle name="SAPBEXstdItemX 5" xfId="1419" xr:uid="{00000000-0005-0000-0000-00008A050000}"/>
    <cellStyle name="SAPBEXstdItemX 6" xfId="1420" xr:uid="{00000000-0005-0000-0000-00008B050000}"/>
    <cellStyle name="SAPBEXstdItemX 7" xfId="1421" xr:uid="{00000000-0005-0000-0000-00008C050000}"/>
    <cellStyle name="SAPBEXstdItemX 8" xfId="1422" xr:uid="{00000000-0005-0000-0000-00008D050000}"/>
    <cellStyle name="SAPBEXstdItemX 9" xfId="1423" xr:uid="{00000000-0005-0000-0000-00008E050000}"/>
    <cellStyle name="SAPBEXstdItemX_Výkaz 13-D3a _2011_jk" xfId="1424" xr:uid="{00000000-0005-0000-0000-00008F050000}"/>
    <cellStyle name="SAPBEXtitle" xfId="55" xr:uid="{00000000-0005-0000-0000-000090050000}"/>
    <cellStyle name="SAPBEXtitle 2" xfId="1425" xr:uid="{00000000-0005-0000-0000-000091050000}"/>
    <cellStyle name="SAPBEXtitle 3" xfId="1426" xr:uid="{00000000-0005-0000-0000-000092050000}"/>
    <cellStyle name="SAPBEXtitle_Výkaz 13-D3a _2011_jk" xfId="1427" xr:uid="{00000000-0005-0000-0000-000093050000}"/>
    <cellStyle name="SAPBEXunassignedItem" xfId="1428" xr:uid="{00000000-0005-0000-0000-000094050000}"/>
    <cellStyle name="SAPBEXunassignedItem 2" xfId="1429" xr:uid="{00000000-0005-0000-0000-000095050000}"/>
    <cellStyle name="SAPBEXunassignedItem 2 2" xfId="1430" xr:uid="{00000000-0005-0000-0000-000096050000}"/>
    <cellStyle name="SAPBEXunassignedItem 2 3" xfId="1431" xr:uid="{00000000-0005-0000-0000-000097050000}"/>
    <cellStyle name="SAPBEXunassignedItem 2 4" xfId="1432" xr:uid="{00000000-0005-0000-0000-000098050000}"/>
    <cellStyle name="SAPBEXunassignedItem 2 5" xfId="1433" xr:uid="{00000000-0005-0000-0000-000099050000}"/>
    <cellStyle name="SAPBEXunassignedItem 2 6" xfId="1434" xr:uid="{00000000-0005-0000-0000-00009A050000}"/>
    <cellStyle name="SAPBEXunassignedItem 2 7" xfId="1435" xr:uid="{00000000-0005-0000-0000-00009B050000}"/>
    <cellStyle name="SAPBEXunassignedItem 3" xfId="1436" xr:uid="{00000000-0005-0000-0000-00009C050000}"/>
    <cellStyle name="SAPBEXunassignedItem 4" xfId="1437" xr:uid="{00000000-0005-0000-0000-00009D050000}"/>
    <cellStyle name="SAPBEXunassignedItem 5" xfId="1438" xr:uid="{00000000-0005-0000-0000-00009E050000}"/>
    <cellStyle name="SAPBEXunassignedItem 6" xfId="1439" xr:uid="{00000000-0005-0000-0000-00009F050000}"/>
    <cellStyle name="SAPBEXunassignedItem 7" xfId="1440" xr:uid="{00000000-0005-0000-0000-0000A0050000}"/>
    <cellStyle name="SAPBEXunassignedItem 8" xfId="1441" xr:uid="{00000000-0005-0000-0000-0000A1050000}"/>
    <cellStyle name="SAPBEXundefined" xfId="56" xr:uid="{00000000-0005-0000-0000-0000A2050000}"/>
    <cellStyle name="SAPBEXundefined 10" xfId="1442" xr:uid="{00000000-0005-0000-0000-0000A3050000}"/>
    <cellStyle name="SAPBEXundefined 11" xfId="1443" xr:uid="{00000000-0005-0000-0000-0000A4050000}"/>
    <cellStyle name="SAPBEXundefined 12" xfId="1444" xr:uid="{00000000-0005-0000-0000-0000A5050000}"/>
    <cellStyle name="SAPBEXundefined 2" xfId="1445" xr:uid="{00000000-0005-0000-0000-0000A6050000}"/>
    <cellStyle name="SAPBEXundefined 2 10" xfId="1446" xr:uid="{00000000-0005-0000-0000-0000A7050000}"/>
    <cellStyle name="SAPBEXundefined 2 2" xfId="1447" xr:uid="{00000000-0005-0000-0000-0000A8050000}"/>
    <cellStyle name="SAPBEXundefined 2 3" xfId="1448" xr:uid="{00000000-0005-0000-0000-0000A9050000}"/>
    <cellStyle name="SAPBEXundefined 2 4" xfId="1449" xr:uid="{00000000-0005-0000-0000-0000AA050000}"/>
    <cellStyle name="SAPBEXundefined 2 5" xfId="1450" xr:uid="{00000000-0005-0000-0000-0000AB050000}"/>
    <cellStyle name="SAPBEXundefined 2 6" xfId="1451" xr:uid="{00000000-0005-0000-0000-0000AC050000}"/>
    <cellStyle name="SAPBEXundefined 2 7" xfId="1452" xr:uid="{00000000-0005-0000-0000-0000AD050000}"/>
    <cellStyle name="SAPBEXundefined 2 8" xfId="1453" xr:uid="{00000000-0005-0000-0000-0000AE050000}"/>
    <cellStyle name="SAPBEXundefined 2 9" xfId="1454" xr:uid="{00000000-0005-0000-0000-0000AF050000}"/>
    <cellStyle name="SAPBEXundefined 3" xfId="1455" xr:uid="{00000000-0005-0000-0000-0000B0050000}"/>
    <cellStyle name="SAPBEXundefined 4" xfId="1456" xr:uid="{00000000-0005-0000-0000-0000B1050000}"/>
    <cellStyle name="SAPBEXundefined 5" xfId="1457" xr:uid="{00000000-0005-0000-0000-0000B2050000}"/>
    <cellStyle name="SAPBEXundefined 6" xfId="1458" xr:uid="{00000000-0005-0000-0000-0000B3050000}"/>
    <cellStyle name="SAPBEXundefined 7" xfId="1459" xr:uid="{00000000-0005-0000-0000-0000B4050000}"/>
    <cellStyle name="SAPBEXundefined 8" xfId="1460" xr:uid="{00000000-0005-0000-0000-0000B5050000}"/>
    <cellStyle name="SAPBEXundefined 9" xfId="1461" xr:uid="{00000000-0005-0000-0000-0000B6050000}"/>
    <cellStyle name="Sheet Title" xfId="1462" xr:uid="{00000000-0005-0000-0000-0000B7050000}"/>
    <cellStyle name="Správně 2" xfId="1463" xr:uid="{00000000-0005-0000-0000-0000B8050000}"/>
    <cellStyle name="Správně 3" xfId="1464" xr:uid="{00000000-0005-0000-0000-0000B9050000}"/>
    <cellStyle name="Styl 1" xfId="1465" xr:uid="{00000000-0005-0000-0000-0000BA050000}"/>
    <cellStyle name="Subtotal" xfId="1466" xr:uid="{00000000-0005-0000-0000-0000BB050000}"/>
    <cellStyle name="Text upozornění 2" xfId="1467" xr:uid="{00000000-0005-0000-0000-0000BC050000}"/>
    <cellStyle name="Vstup 2" xfId="1468" xr:uid="{00000000-0005-0000-0000-0000BD050000}"/>
    <cellStyle name="Vstup 2 10" xfId="1469" xr:uid="{00000000-0005-0000-0000-0000BE050000}"/>
    <cellStyle name="Vstup 2 11" xfId="1470" xr:uid="{00000000-0005-0000-0000-0000BF050000}"/>
    <cellStyle name="Vstup 2 2" xfId="1471" xr:uid="{00000000-0005-0000-0000-0000C0050000}"/>
    <cellStyle name="Vstup 2 2 10" xfId="1472" xr:uid="{00000000-0005-0000-0000-0000C1050000}"/>
    <cellStyle name="Vstup 2 2 2" xfId="1473" xr:uid="{00000000-0005-0000-0000-0000C2050000}"/>
    <cellStyle name="Vstup 2 2 3" xfId="1474" xr:uid="{00000000-0005-0000-0000-0000C3050000}"/>
    <cellStyle name="Vstup 2 2 4" xfId="1475" xr:uid="{00000000-0005-0000-0000-0000C4050000}"/>
    <cellStyle name="Vstup 2 2 5" xfId="1476" xr:uid="{00000000-0005-0000-0000-0000C5050000}"/>
    <cellStyle name="Vstup 2 2 6" xfId="1477" xr:uid="{00000000-0005-0000-0000-0000C6050000}"/>
    <cellStyle name="Vstup 2 2 7" xfId="1478" xr:uid="{00000000-0005-0000-0000-0000C7050000}"/>
    <cellStyle name="Vstup 2 2 8" xfId="1479" xr:uid="{00000000-0005-0000-0000-0000C8050000}"/>
    <cellStyle name="Vstup 2 2 9" xfId="1480" xr:uid="{00000000-0005-0000-0000-0000C9050000}"/>
    <cellStyle name="Vstup 2 3" xfId="1481" xr:uid="{00000000-0005-0000-0000-0000CA050000}"/>
    <cellStyle name="Vstup 2 4" xfId="1482" xr:uid="{00000000-0005-0000-0000-0000CB050000}"/>
    <cellStyle name="Vstup 2 5" xfId="1483" xr:uid="{00000000-0005-0000-0000-0000CC050000}"/>
    <cellStyle name="Vstup 2 6" xfId="1484" xr:uid="{00000000-0005-0000-0000-0000CD050000}"/>
    <cellStyle name="Vstup 2 7" xfId="1485" xr:uid="{00000000-0005-0000-0000-0000CE050000}"/>
    <cellStyle name="Vstup 2 8" xfId="1486" xr:uid="{00000000-0005-0000-0000-0000CF050000}"/>
    <cellStyle name="Vstup 2 9" xfId="1487" xr:uid="{00000000-0005-0000-0000-0000D0050000}"/>
    <cellStyle name="Výpočet 2" xfId="1488" xr:uid="{00000000-0005-0000-0000-0000D1050000}"/>
    <cellStyle name="Výpočet 2 10" xfId="1489" xr:uid="{00000000-0005-0000-0000-0000D2050000}"/>
    <cellStyle name="Výpočet 2 11" xfId="1490" xr:uid="{00000000-0005-0000-0000-0000D3050000}"/>
    <cellStyle name="Výpočet 2 2" xfId="1491" xr:uid="{00000000-0005-0000-0000-0000D4050000}"/>
    <cellStyle name="Výpočet 2 2 10" xfId="1492" xr:uid="{00000000-0005-0000-0000-0000D5050000}"/>
    <cellStyle name="Výpočet 2 2 2" xfId="1493" xr:uid="{00000000-0005-0000-0000-0000D6050000}"/>
    <cellStyle name="Výpočet 2 2 3" xfId="1494" xr:uid="{00000000-0005-0000-0000-0000D7050000}"/>
    <cellStyle name="Výpočet 2 2 4" xfId="1495" xr:uid="{00000000-0005-0000-0000-0000D8050000}"/>
    <cellStyle name="Výpočet 2 2 5" xfId="1496" xr:uid="{00000000-0005-0000-0000-0000D9050000}"/>
    <cellStyle name="Výpočet 2 2 6" xfId="1497" xr:uid="{00000000-0005-0000-0000-0000DA050000}"/>
    <cellStyle name="Výpočet 2 2 7" xfId="1498" xr:uid="{00000000-0005-0000-0000-0000DB050000}"/>
    <cellStyle name="Výpočet 2 2 8" xfId="1499" xr:uid="{00000000-0005-0000-0000-0000DC050000}"/>
    <cellStyle name="Výpočet 2 2 9" xfId="1500" xr:uid="{00000000-0005-0000-0000-0000DD050000}"/>
    <cellStyle name="Výpočet 2 3" xfId="1501" xr:uid="{00000000-0005-0000-0000-0000DE050000}"/>
    <cellStyle name="Výpočet 2 4" xfId="1502" xr:uid="{00000000-0005-0000-0000-0000DF050000}"/>
    <cellStyle name="Výpočet 2 5" xfId="1503" xr:uid="{00000000-0005-0000-0000-0000E0050000}"/>
    <cellStyle name="Výpočet 2 6" xfId="1504" xr:uid="{00000000-0005-0000-0000-0000E1050000}"/>
    <cellStyle name="Výpočet 2 7" xfId="1505" xr:uid="{00000000-0005-0000-0000-0000E2050000}"/>
    <cellStyle name="Výpočet 2 8" xfId="1506" xr:uid="{00000000-0005-0000-0000-0000E3050000}"/>
    <cellStyle name="Výpočet 2 9" xfId="1507" xr:uid="{00000000-0005-0000-0000-0000E4050000}"/>
    <cellStyle name="Výstup 2" xfId="1508" xr:uid="{00000000-0005-0000-0000-0000E5050000}"/>
    <cellStyle name="Výstup 2 10" xfId="1509" xr:uid="{00000000-0005-0000-0000-0000E6050000}"/>
    <cellStyle name="Výstup 2 11" xfId="1510" xr:uid="{00000000-0005-0000-0000-0000E7050000}"/>
    <cellStyle name="Výstup 2 2" xfId="1511" xr:uid="{00000000-0005-0000-0000-0000E8050000}"/>
    <cellStyle name="Výstup 2 2 10" xfId="1512" xr:uid="{00000000-0005-0000-0000-0000E9050000}"/>
    <cellStyle name="Výstup 2 2 2" xfId="1513" xr:uid="{00000000-0005-0000-0000-0000EA050000}"/>
    <cellStyle name="Výstup 2 2 3" xfId="1514" xr:uid="{00000000-0005-0000-0000-0000EB050000}"/>
    <cellStyle name="Výstup 2 2 4" xfId="1515" xr:uid="{00000000-0005-0000-0000-0000EC050000}"/>
    <cellStyle name="Výstup 2 2 5" xfId="1516" xr:uid="{00000000-0005-0000-0000-0000ED050000}"/>
    <cellStyle name="Výstup 2 2 6" xfId="1517" xr:uid="{00000000-0005-0000-0000-0000EE050000}"/>
    <cellStyle name="Výstup 2 2 7" xfId="1518" xr:uid="{00000000-0005-0000-0000-0000EF050000}"/>
    <cellStyle name="Výstup 2 2 8" xfId="1519" xr:uid="{00000000-0005-0000-0000-0000F0050000}"/>
    <cellStyle name="Výstup 2 2 9" xfId="1520" xr:uid="{00000000-0005-0000-0000-0000F1050000}"/>
    <cellStyle name="Výstup 2 3" xfId="1521" xr:uid="{00000000-0005-0000-0000-0000F2050000}"/>
    <cellStyle name="Výstup 2 4" xfId="1522" xr:uid="{00000000-0005-0000-0000-0000F3050000}"/>
    <cellStyle name="Výstup 2 5" xfId="1523" xr:uid="{00000000-0005-0000-0000-0000F4050000}"/>
    <cellStyle name="Výstup 2 6" xfId="1524" xr:uid="{00000000-0005-0000-0000-0000F5050000}"/>
    <cellStyle name="Výstup 2 7" xfId="1525" xr:uid="{00000000-0005-0000-0000-0000F6050000}"/>
    <cellStyle name="Výstup 2 8" xfId="1526" xr:uid="{00000000-0005-0000-0000-0000F7050000}"/>
    <cellStyle name="Výstup 2 9" xfId="1527" xr:uid="{00000000-0005-0000-0000-0000F8050000}"/>
    <cellStyle name="Vysvětlující text 2" xfId="1528" xr:uid="{00000000-0005-0000-0000-0000F9050000}"/>
    <cellStyle name="Záhlaví 1" xfId="86" xr:uid="{00000000-0005-0000-0000-0000FA050000}"/>
    <cellStyle name="Záhlaví 2" xfId="87" xr:uid="{00000000-0005-0000-0000-0000FB050000}"/>
    <cellStyle name="Zvýraznění 1 2" xfId="1529" xr:uid="{00000000-0005-0000-0000-0000FC050000}"/>
    <cellStyle name="Zvýraznění 2 2" xfId="1530" xr:uid="{00000000-0005-0000-0000-0000FD050000}"/>
    <cellStyle name="Zvýraznění 3 2" xfId="1531" xr:uid="{00000000-0005-0000-0000-0000FE050000}"/>
    <cellStyle name="Zvýraznění 4 2" xfId="1532" xr:uid="{00000000-0005-0000-0000-0000FF050000}"/>
    <cellStyle name="Zvýraznění 5 2" xfId="1533" xr:uid="{00000000-0005-0000-0000-000000060000}"/>
    <cellStyle name="Zvýraznění 6 2" xfId="1534" xr:uid="{00000000-0005-0000-0000-000001060000}"/>
  </cellStyles>
  <dxfs count="0"/>
  <tableStyles count="0" defaultTableStyle="TableStyleMedium2" defaultPivotStyle="PivotStyleLight16"/>
  <colors>
    <mruColors>
      <color rgb="FF233060"/>
      <color rgb="FFF0948F"/>
      <color rgb="FF596387"/>
      <color rgb="FF9196B0"/>
      <color rgb="FFC7CCD6"/>
      <color rgb="FF79C1D5"/>
      <color rgb="FFCEF8FA"/>
      <color rgb="FF646363"/>
      <color rgb="FFDDFAF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'3.2'!$E$27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'3.2'!$D$28:$D$39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'3.2'!$E$28:$E$39</c:f>
              <c:numCache>
                <c:formatCode>#\ ##0.0</c:formatCode>
                <c:ptCount val="12"/>
                <c:pt idx="0">
                  <c:v>473.40953888750795</c:v>
                </c:pt>
                <c:pt idx="1">
                  <c:v>461.50851106068399</c:v>
                </c:pt>
                <c:pt idx="2">
                  <c:v>552.47851596758403</c:v>
                </c:pt>
                <c:pt idx="3">
                  <c:v>767.13788919740603</c:v>
                </c:pt>
                <c:pt idx="4">
                  <c:v>766.36311755969393</c:v>
                </c:pt>
                <c:pt idx="5">
                  <c:v>906.75012386322101</c:v>
                </c:pt>
                <c:pt idx="6">
                  <c:v>1182.7619264140319</c:v>
                </c:pt>
                <c:pt idx="7">
                  <c:v>780.41650133646408</c:v>
                </c:pt>
                <c:pt idx="8">
                  <c:v>605.91043035048801</c:v>
                </c:pt>
                <c:pt idx="9">
                  <c:v>652.49983585199197</c:v>
                </c:pt>
                <c:pt idx="10">
                  <c:v>641.22403763019497</c:v>
                </c:pt>
                <c:pt idx="11">
                  <c:v>685.53290491335895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4-49AB-B1D3-D3194406E607}"/>
            </c:ext>
          </c:extLst>
        </c:ser>
        <c:ser>
          <c:idx val="1"/>
          <c:order val="1"/>
          <c:tx>
            <c:strRef>
              <c:f>'3.2'!$F$27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'3.2'!$D$28:$D$39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'3.2'!$F$28:$F$39</c:f>
              <c:numCache>
                <c:formatCode>#\ ##0.0</c:formatCode>
                <c:ptCount val="12"/>
                <c:pt idx="0">
                  <c:v>-4.9845249681999999E-2</c:v>
                </c:pt>
                <c:pt idx="1">
                  <c:v>-62.372759322020002</c:v>
                </c:pt>
                <c:pt idx="2">
                  <c:v>-0.10006611204199999</c:v>
                </c:pt>
                <c:pt idx="3">
                  <c:v>-6.8492235789510003</c:v>
                </c:pt>
                <c:pt idx="4">
                  <c:v>-7.0807769197289998</c:v>
                </c:pt>
                <c:pt idx="5">
                  <c:v>-29.763241463229999</c:v>
                </c:pt>
                <c:pt idx="6">
                  <c:v>-378.84481369430699</c:v>
                </c:pt>
                <c:pt idx="7">
                  <c:v>-15.458912759427003</c:v>
                </c:pt>
                <c:pt idx="8">
                  <c:v>-26.272808084163003</c:v>
                </c:pt>
                <c:pt idx="9">
                  <c:v>-164.63093180145299</c:v>
                </c:pt>
                <c:pt idx="10">
                  <c:v>-171.34741117028</c:v>
                </c:pt>
                <c:pt idx="11">
                  <c:v>-433.40751943688201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C4-49AB-B1D3-D3194406E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30"/>
        <c:axId val="154269184"/>
        <c:axId val="154270720"/>
      </c:barChart>
      <c:catAx>
        <c:axId val="154269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54270720"/>
        <c:crosses val="autoZero"/>
        <c:auto val="1"/>
        <c:lblAlgn val="ctr"/>
        <c:lblOffset val="100"/>
        <c:noMultiLvlLbl val="0"/>
      </c:catAx>
      <c:valAx>
        <c:axId val="154270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542691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2369142748693663E-4"/>
          <c:y val="0.92056933894499138"/>
          <c:w val="0.19103510423252798"/>
          <c:h val="7.888618179064298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EAA-4434-9EDB-79B35337C276}"/>
              </c:ext>
            </c:extLst>
          </c:dPt>
          <c:dPt>
            <c:idx val="1"/>
            <c:invertIfNegative val="0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2-3EAA-4434-9EDB-79B35337C276}"/>
              </c:ext>
            </c:extLst>
          </c:dPt>
          <c:dPt>
            <c:idx val="2"/>
            <c:invertIfNegative val="0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4-3EAA-4434-9EDB-79B35337C2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'4.3'!$H$45:$H$47</c:f>
              <c:strCache>
                <c:ptCount val="3"/>
                <c:pt idx="0">
                  <c:v>Max</c:v>
                </c:pt>
                <c:pt idx="1">
                  <c:v>Min</c:v>
                </c:pt>
                <c:pt idx="2">
                  <c:v>Průměr</c:v>
                </c:pt>
              </c:strCache>
            </c:strRef>
          </c:cat>
          <c:val>
            <c:numRef>
              <c:f>'4.3'!$I$45:$I$47</c:f>
              <c:numCache>
                <c:formatCode>#,##0</c:formatCode>
                <c:ptCount val="3"/>
                <c:pt idx="0">
                  <c:v>36526.84421124147</c:v>
                </c:pt>
                <c:pt idx="1">
                  <c:v>24789.892747093316</c:v>
                </c:pt>
                <c:pt idx="2">
                  <c:v>30272.387826670165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AA-4434-9EDB-79B35337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5116544"/>
        <c:axId val="165122432"/>
      </c:barChart>
      <c:catAx>
        <c:axId val="165116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5122432"/>
        <c:crosses val="autoZero"/>
        <c:auto val="1"/>
        <c:lblAlgn val="ctr"/>
        <c:lblOffset val="100"/>
        <c:noMultiLvlLbl val="0"/>
      </c:catAx>
      <c:valAx>
        <c:axId val="1651224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1165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2.0754852261096239E-2"/>
          <c:w val="0.49250688350604677"/>
          <c:h val="0.786535808023996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'5.1'!$B$43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'5.1'!$C$42:$D$42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'5.1'!$C$43:$D$43</c:f>
              <c:numCache>
                <c:formatCode>#,##0</c:formatCode>
                <c:ptCount val="2"/>
                <c:pt idx="0">
                  <c:v>605489.71788701997</c:v>
                </c:pt>
                <c:pt idx="1">
                  <c:v>555181.71762775804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AC-426C-8CB5-97DB8CC20E85}"/>
            </c:ext>
          </c:extLst>
        </c:ser>
        <c:ser>
          <c:idx val="1"/>
          <c:order val="1"/>
          <c:tx>
            <c:strRef>
              <c:f>'5.1'!$B$44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'5.1'!$C$42:$D$42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'5.1'!$C$44:$D$44</c:f>
              <c:numCache>
                <c:formatCode>#,##0</c:formatCode>
                <c:ptCount val="2"/>
                <c:pt idx="0">
                  <c:v>806070.68673837301</c:v>
                </c:pt>
                <c:pt idx="1">
                  <c:v>865477.27314726391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AC-426C-8CB5-97DB8CC20E85}"/>
            </c:ext>
          </c:extLst>
        </c:ser>
        <c:ser>
          <c:idx val="2"/>
          <c:order val="2"/>
          <c:tx>
            <c:strRef>
              <c:f>'5.1'!$B$45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'5.1'!$C$42:$D$42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'5.1'!$C$45:$D$45</c:f>
              <c:numCache>
                <c:formatCode>#,##0</c:formatCode>
                <c:ptCount val="2"/>
                <c:pt idx="0">
                  <c:v>938444.02379024716</c:v>
                </c:pt>
                <c:pt idx="1">
                  <c:v>949243.67055958288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AC-426C-8CB5-97DB8CC20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312768"/>
        <c:axId val="154272896"/>
      </c:barChart>
      <c:catAx>
        <c:axId val="16731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4272896"/>
        <c:crosses val="autoZero"/>
        <c:auto val="1"/>
        <c:lblAlgn val="ctr"/>
        <c:lblOffset val="100"/>
        <c:noMultiLvlLbl val="0"/>
      </c:catAx>
      <c:valAx>
        <c:axId val="1542728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73127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2548508955760597E-3"/>
          <c:y val="0.92454477860696616"/>
          <c:w val="0.44402259795045007"/>
          <c:h val="6.59804024496937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2.3809532736982653E-2"/>
          <c:w val="0.77090245307366301"/>
          <c:h val="0.793063289487547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'5.1'!$H$43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'5.1'!$I$42:$J$42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'5.1'!$I$43:$J$43</c:f>
              <c:numCache>
                <c:formatCode>0.0%</c:formatCode>
                <c:ptCount val="2"/>
                <c:pt idx="0">
                  <c:v>0.25765471356802411</c:v>
                </c:pt>
                <c:pt idx="1">
                  <c:v>0.23426351077014654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E2-466B-A37D-841994DB4915}"/>
            </c:ext>
          </c:extLst>
        </c:ser>
        <c:ser>
          <c:idx val="1"/>
          <c:order val="1"/>
          <c:tx>
            <c:strRef>
              <c:f>'5.1'!$H$44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'5.1'!$I$42:$J$42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'5.1'!$I$44:$J$44</c:f>
              <c:numCache>
                <c:formatCode>0.0%</c:formatCode>
                <c:ptCount val="2"/>
                <c:pt idx="0">
                  <c:v>0.34300815649178218</c:v>
                </c:pt>
                <c:pt idx="1">
                  <c:v>0.36519528302477733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E2-466B-A37D-841994DB4915}"/>
            </c:ext>
          </c:extLst>
        </c:ser>
        <c:ser>
          <c:idx val="2"/>
          <c:order val="2"/>
          <c:tx>
            <c:strRef>
              <c:f>'5.1'!$H$45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'5.1'!$I$42:$J$42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'5.1'!$I$45:$J$45</c:f>
              <c:numCache>
                <c:formatCode>0.0%</c:formatCode>
                <c:ptCount val="2"/>
                <c:pt idx="0">
                  <c:v>0.39933712994019371</c:v>
                </c:pt>
                <c:pt idx="1">
                  <c:v>0.40054120620507627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E2-466B-A37D-841994DB4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4301952"/>
        <c:axId val="154303872"/>
      </c:barChart>
      <c:catAx>
        <c:axId val="154301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54303872"/>
        <c:crosses val="autoZero"/>
        <c:auto val="1"/>
        <c:lblAlgn val="ctr"/>
        <c:lblOffset val="100"/>
        <c:noMultiLvlLbl val="0"/>
      </c:catAx>
      <c:valAx>
        <c:axId val="15430387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543019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2280557227122625E-3"/>
          <c:y val="0.92930668515436265"/>
          <c:w val="0.67370427638671238"/>
          <c:h val="6.53271537736038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'5.2'!$B$42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'5.2'!$C$41:$D$41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'5.2'!$C$42:$D$42</c:f>
              <c:numCache>
                <c:formatCode>#,##0</c:formatCode>
                <c:ptCount val="2"/>
                <c:pt idx="0">
                  <c:v>61319.272530718001</c:v>
                </c:pt>
                <c:pt idx="1">
                  <c:v>53405.085647103995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2B-489A-AC92-55573FC6C8F1}"/>
            </c:ext>
          </c:extLst>
        </c:ser>
        <c:ser>
          <c:idx val="1"/>
          <c:order val="1"/>
          <c:tx>
            <c:strRef>
              <c:f>'5.2'!$B$43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'5.2'!$C$41:$D$41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'5.2'!$C$43:$D$43</c:f>
              <c:numCache>
                <c:formatCode>#,##0</c:formatCode>
                <c:ptCount val="2"/>
                <c:pt idx="0">
                  <c:v>94457.477201782996</c:v>
                </c:pt>
                <c:pt idx="1">
                  <c:v>95661.501860338001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2B-489A-AC92-55573FC6C8F1}"/>
            </c:ext>
          </c:extLst>
        </c:ser>
        <c:ser>
          <c:idx val="2"/>
          <c:order val="2"/>
          <c:tx>
            <c:strRef>
              <c:f>'5.2'!$B$44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'5.2'!$C$41:$D$41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'5.2'!$C$44:$D$44</c:f>
              <c:numCache>
                <c:formatCode>#,##0</c:formatCode>
                <c:ptCount val="2"/>
                <c:pt idx="0">
                  <c:v>111882.775396571</c:v>
                </c:pt>
                <c:pt idx="1">
                  <c:v>113032.61721472001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2B-489A-AC92-55573FC6C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4118400"/>
        <c:axId val="154124288"/>
      </c:barChart>
      <c:catAx>
        <c:axId val="15411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54124288"/>
        <c:crosses val="autoZero"/>
        <c:auto val="1"/>
        <c:lblAlgn val="ctr"/>
        <c:lblOffset val="100"/>
        <c:noMultiLvlLbl val="0"/>
      </c:catAx>
      <c:valAx>
        <c:axId val="1541242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41184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8095451246888922E-3"/>
          <c:y val="0.92930668515436265"/>
          <c:w val="0.50885647046057236"/>
          <c:h val="5.996764643391946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4.3264503441494594E-2"/>
          <c:w val="0.77090245307366301"/>
          <c:h val="0.7667560139053414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'5.2'!$H$42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'5.2'!$I$41:$J$41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'5.2'!$I$42:$J$42</c:f>
              <c:numCache>
                <c:formatCode>0.0%</c:formatCode>
                <c:ptCount val="2"/>
                <c:pt idx="0">
                  <c:v>0.22909430367235514</c:v>
                </c:pt>
                <c:pt idx="1">
                  <c:v>0.20375905262175822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3-4E0B-B9AD-17DAD6C994D1}"/>
            </c:ext>
          </c:extLst>
        </c:ser>
        <c:ser>
          <c:idx val="1"/>
          <c:order val="1"/>
          <c:tx>
            <c:strRef>
              <c:f>'5.2'!$H$43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'5.2'!$I$41:$J$41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'5.2'!$I$43:$J$43</c:f>
              <c:numCache>
                <c:formatCode>0.0%</c:formatCode>
                <c:ptCount val="2"/>
                <c:pt idx="0">
                  <c:v>0.3529016094466777</c:v>
                </c:pt>
                <c:pt idx="1">
                  <c:v>0.36498203785755046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43-4E0B-B9AD-17DAD6C994D1}"/>
            </c:ext>
          </c:extLst>
        </c:ser>
        <c:ser>
          <c:idx val="2"/>
          <c:order val="2"/>
          <c:tx>
            <c:strRef>
              <c:f>'5.2'!$H$44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'5.2'!$I$41:$J$41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'5.2'!$I$44:$J$44</c:f>
              <c:numCache>
                <c:formatCode>0.0%</c:formatCode>
                <c:ptCount val="2"/>
                <c:pt idx="0">
                  <c:v>0.41800408688096702</c:v>
                </c:pt>
                <c:pt idx="1">
                  <c:v>0.43125890952069129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43-4E0B-B9AD-17DAD6C99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2369536"/>
        <c:axId val="162371456"/>
      </c:barChart>
      <c:catAx>
        <c:axId val="162369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2371456"/>
        <c:crosses val="autoZero"/>
        <c:auto val="1"/>
        <c:lblAlgn val="ctr"/>
        <c:lblOffset val="100"/>
        <c:noMultiLvlLbl val="0"/>
      </c:catAx>
      <c:valAx>
        <c:axId val="1623714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23695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2280557227122625E-3"/>
          <c:y val="0.92930668515436265"/>
          <c:w val="0.8312526347291902"/>
          <c:h val="6.031850540866692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4.569055036344756E-2"/>
          <c:w val="0.77090245307366301"/>
          <c:h val="0.7578305982780190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'5.3'!$H$42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'5.3'!$I$41:$J$41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'5.3'!$I$42:$J$42</c:f>
              <c:numCache>
                <c:formatCode>0.0%</c:formatCode>
                <c:ptCount val="2"/>
                <c:pt idx="0">
                  <c:v>0.26570598481712521</c:v>
                </c:pt>
                <c:pt idx="1">
                  <c:v>0.23923404189832742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21-4F62-A8F2-07000363B55B}"/>
            </c:ext>
          </c:extLst>
        </c:ser>
        <c:ser>
          <c:idx val="1"/>
          <c:order val="1"/>
          <c:tx>
            <c:strRef>
              <c:f>'5.3'!$H$43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'5.3'!$I$41:$J$41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'5.3'!$I$43:$J$43</c:f>
              <c:numCache>
                <c:formatCode>0.0%</c:formatCode>
                <c:ptCount val="2"/>
                <c:pt idx="0">
                  <c:v>0.34730374408410769</c:v>
                </c:pt>
                <c:pt idx="1">
                  <c:v>0.35822789888930495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21-4F62-A8F2-07000363B55B}"/>
            </c:ext>
          </c:extLst>
        </c:ser>
        <c:ser>
          <c:idx val="2"/>
          <c:order val="2"/>
          <c:tx>
            <c:strRef>
              <c:f>'5.3'!$H$44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'5.3'!$I$41:$J$41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'5.3'!$I$44:$J$44</c:f>
              <c:numCache>
                <c:formatCode>0.0%</c:formatCode>
                <c:ptCount val="2"/>
                <c:pt idx="0">
                  <c:v>0.3869902710987671</c:v>
                </c:pt>
                <c:pt idx="1">
                  <c:v>0.40253805921236752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21-4F62-A8F2-07000363B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499648"/>
        <c:axId val="167329792"/>
      </c:barChart>
      <c:catAx>
        <c:axId val="167499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7329792"/>
        <c:crosses val="autoZero"/>
        <c:auto val="1"/>
        <c:lblAlgn val="ctr"/>
        <c:lblOffset val="100"/>
        <c:noMultiLvlLbl val="0"/>
      </c:catAx>
      <c:valAx>
        <c:axId val="1673297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74996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7553732385528067E-2"/>
          <c:y val="0.92930668515436265"/>
          <c:w val="0.76994992807792684"/>
          <c:h val="6.37040445896889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'5.3'!$B$42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'5.3'!$C$41:$D$41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'5.3'!$C$42:$D$42</c:f>
              <c:numCache>
                <c:formatCode>#,##0</c:formatCode>
                <c:ptCount val="2"/>
                <c:pt idx="0">
                  <c:v>516789.69405630196</c:v>
                </c:pt>
                <c:pt idx="1">
                  <c:v>451140.30265065399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3-4286-BF7E-9B90DA6B9294}"/>
            </c:ext>
          </c:extLst>
        </c:ser>
        <c:ser>
          <c:idx val="1"/>
          <c:order val="1"/>
          <c:tx>
            <c:strRef>
              <c:f>'5.3'!$B$43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'5.3'!$C$41:$D$41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'5.3'!$C$43:$D$43</c:f>
              <c:numCache>
                <c:formatCode>#,##0</c:formatCode>
                <c:ptCount val="2"/>
                <c:pt idx="0">
                  <c:v>675494.74195459008</c:v>
                </c:pt>
                <c:pt idx="1">
                  <c:v>675535.3102779258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C3-4286-BF7E-9B90DA6B9294}"/>
            </c:ext>
          </c:extLst>
        </c:ser>
        <c:ser>
          <c:idx val="2"/>
          <c:order val="2"/>
          <c:tx>
            <c:strRef>
              <c:f>'5.3'!$B$44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'5.3'!$C$41:$D$41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'5.3'!$C$44:$D$44</c:f>
              <c:numCache>
                <c:formatCode>#,##0</c:formatCode>
                <c:ptCount val="2"/>
                <c:pt idx="0">
                  <c:v>752683.77542020404</c:v>
                </c:pt>
                <c:pt idx="1">
                  <c:v>759094.06713386299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C3-4286-BF7E-9B90DA6B9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2396032"/>
        <c:axId val="162397568"/>
      </c:barChart>
      <c:catAx>
        <c:axId val="16239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62397568"/>
        <c:crosses val="autoZero"/>
        <c:auto val="1"/>
        <c:lblAlgn val="ctr"/>
        <c:lblOffset val="100"/>
        <c:noMultiLvlLbl val="0"/>
      </c:catAx>
      <c:valAx>
        <c:axId val="1623975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23960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642393538017259E-3"/>
          <c:y val="0.92930668515436265"/>
          <c:w val="0.62599686667073595"/>
          <c:h val="6.28943846432007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'5.4'!$B$42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'5.4'!$C$41:$D$41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'5.4'!$C$42:$D$42</c:f>
              <c:numCache>
                <c:formatCode>#,##0</c:formatCode>
                <c:ptCount val="2"/>
                <c:pt idx="0">
                  <c:v>24900.195000000003</c:v>
                </c:pt>
                <c:pt idx="1">
                  <c:v>21782.302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BD-478B-86C6-58843A0475D5}"/>
            </c:ext>
          </c:extLst>
        </c:ser>
        <c:ser>
          <c:idx val="1"/>
          <c:order val="1"/>
          <c:tx>
            <c:strRef>
              <c:f>'5.4'!$B$43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'5.4'!$C$41:$D$41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'5.4'!$C$43:$D$43</c:f>
              <c:numCache>
                <c:formatCode>#,##0</c:formatCode>
                <c:ptCount val="2"/>
                <c:pt idx="0">
                  <c:v>33463.383000999987</c:v>
                </c:pt>
                <c:pt idx="1">
                  <c:v>32935.732999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BD-478B-86C6-58843A0475D5}"/>
            </c:ext>
          </c:extLst>
        </c:ser>
        <c:ser>
          <c:idx val="2"/>
          <c:order val="2"/>
          <c:tx>
            <c:strRef>
              <c:f>'5.4'!$B$44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'5.4'!$C$41:$D$41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'5.4'!$C$44:$D$44</c:f>
              <c:numCache>
                <c:formatCode>#,##0</c:formatCode>
                <c:ptCount val="2"/>
                <c:pt idx="0">
                  <c:v>36436.936001000002</c:v>
                </c:pt>
                <c:pt idx="1">
                  <c:v>36555.332001000002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BD-478B-86C6-58843A047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995840"/>
        <c:axId val="168997632"/>
      </c:barChart>
      <c:catAx>
        <c:axId val="1689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8997632"/>
        <c:crosses val="autoZero"/>
        <c:auto val="1"/>
        <c:lblAlgn val="ctr"/>
        <c:lblOffset val="100"/>
        <c:noMultiLvlLbl val="0"/>
      </c:catAx>
      <c:valAx>
        <c:axId val="1689976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89958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642393538017259E-3"/>
          <c:y val="0.92930668515436265"/>
          <c:w val="0.49507524737702363"/>
          <c:h val="6.3507830899987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5.2380972021361841E-2"/>
          <c:w val="0.77090245307366301"/>
          <c:h val="0.7414176008314964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'5.4'!$H$42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'5.4'!$I$41:$J$41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'5.4'!$I$42:$J$42</c:f>
              <c:numCache>
                <c:formatCode>0.0%</c:formatCode>
                <c:ptCount val="2"/>
                <c:pt idx="0">
                  <c:v>0.26265886068375838</c:v>
                </c:pt>
                <c:pt idx="1">
                  <c:v>0.2386490464408966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6A-423E-AEEF-60B715594AC9}"/>
            </c:ext>
          </c:extLst>
        </c:ser>
        <c:ser>
          <c:idx val="1"/>
          <c:order val="1"/>
          <c:tx>
            <c:strRef>
              <c:f>'5.4'!$H$43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'5.4'!$I$41:$J$41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'5.4'!$I$43:$J$43</c:f>
              <c:numCache>
                <c:formatCode>0.0%</c:formatCode>
                <c:ptCount val="2"/>
                <c:pt idx="0">
                  <c:v>0.35298735827839511</c:v>
                </c:pt>
                <c:pt idx="1">
                  <c:v>0.36084713516704164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6A-423E-AEEF-60B715594AC9}"/>
            </c:ext>
          </c:extLst>
        </c:ser>
        <c:ser>
          <c:idx val="2"/>
          <c:order val="2"/>
          <c:tx>
            <c:strRef>
              <c:f>'5.4'!$H$44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'5.4'!$I$41:$J$41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'5.4'!$I$44:$J$44</c:f>
              <c:numCache>
                <c:formatCode>0.0%</c:formatCode>
                <c:ptCount val="2"/>
                <c:pt idx="0">
                  <c:v>0.38435378103784645</c:v>
                </c:pt>
                <c:pt idx="1">
                  <c:v>0.40050381839206178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6A-423E-AEEF-60B715594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657280"/>
        <c:axId val="168659200"/>
      </c:barChart>
      <c:catAx>
        <c:axId val="16865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8659200"/>
        <c:crosses val="autoZero"/>
        <c:auto val="1"/>
        <c:lblAlgn val="ctr"/>
        <c:lblOffset val="100"/>
        <c:noMultiLvlLbl val="0"/>
      </c:catAx>
      <c:valAx>
        <c:axId val="1686592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86572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2445173497922801E-2"/>
          <c:y val="0.92930668515436265"/>
          <c:w val="0.75973281030271644"/>
          <c:h val="6.390147447994620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'5.5'!$B$42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dLbl>
              <c:idx val="0"/>
              <c:layout>
                <c:manualLayout>
                  <c:x val="0.11024978466838932"/>
                  <c:y val="-2.46609124537606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FC-4D96-973A-76E5C7E339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'5.5'!$C$41:$D$41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'5.5'!$C$42:$D$42</c:f>
              <c:numCache>
                <c:formatCode>#,##0</c:formatCode>
                <c:ptCount val="2"/>
                <c:pt idx="0">
                  <c:v>2480.5563000000002</c:v>
                </c:pt>
                <c:pt idx="1">
                  <c:v>28854.027330000001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8-4421-8B4C-C6E0AB107E29}"/>
            </c:ext>
          </c:extLst>
        </c:ser>
        <c:ser>
          <c:idx val="1"/>
          <c:order val="1"/>
          <c:tx>
            <c:strRef>
              <c:f>'5.5'!$B$43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dLbl>
              <c:idx val="0"/>
              <c:layout>
                <c:manualLayout>
                  <c:x val="0.11024978466838932"/>
                  <c:y val="-4.9321824907521579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FC-4D96-973A-76E5C7E339F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'5.5'!$C$41:$D$41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'5.5'!$C$43:$D$43</c:f>
              <c:numCache>
                <c:formatCode>#,##0</c:formatCode>
                <c:ptCount val="2"/>
                <c:pt idx="0">
                  <c:v>2655.0845809999978</c:v>
                </c:pt>
                <c:pt idx="1">
                  <c:v>61344.728009999992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58-4421-8B4C-C6E0AB107E29}"/>
            </c:ext>
          </c:extLst>
        </c:ser>
        <c:ser>
          <c:idx val="2"/>
          <c:order val="2"/>
          <c:tx>
            <c:strRef>
              <c:f>'5.5'!$B$44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'5.5'!$C$41:$D$41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'5.5'!$C$44:$D$44</c:f>
              <c:numCache>
                <c:formatCode>#,##0</c:formatCode>
                <c:ptCount val="2"/>
                <c:pt idx="0">
                  <c:v>37440.535808999994</c:v>
                </c:pt>
                <c:pt idx="1">
                  <c:v>40561.654210000001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58-4421-8B4C-C6E0AB10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9018880"/>
        <c:axId val="169020416"/>
      </c:barChart>
      <c:catAx>
        <c:axId val="1690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9020416"/>
        <c:crosses val="autoZero"/>
        <c:auto val="1"/>
        <c:lblAlgn val="ctr"/>
        <c:lblOffset val="100"/>
        <c:noMultiLvlLbl val="0"/>
      </c:catAx>
      <c:valAx>
        <c:axId val="1690204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9018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642393538017259E-3"/>
          <c:y val="0.92677883821858886"/>
          <c:w val="0.5467548339403312"/>
          <c:h val="7.322116747834575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'3.2'!$N$27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'3.2'!$M$28:$M$39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'3.2'!$N$28:$N$39</c:f>
              <c:numCache>
                <c:formatCode>#\ ##0.0</c:formatCode>
                <c:ptCount val="12"/>
                <c:pt idx="0">
                  <c:v>567.22816599999999</c:v>
                </c:pt>
                <c:pt idx="1">
                  <c:v>555.605772</c:v>
                </c:pt>
                <c:pt idx="2">
                  <c:v>188.32898499999999</c:v>
                </c:pt>
                <c:pt idx="3">
                  <c:v>10.225211999999999</c:v>
                </c:pt>
                <c:pt idx="4">
                  <c:v>12.769877000000001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7.0777000000000007E-2</c:v>
                </c:pt>
                <c:pt idx="9">
                  <c:v>125.503625</c:v>
                </c:pt>
                <c:pt idx="10">
                  <c:v>325.82558200000005</c:v>
                </c:pt>
                <c:pt idx="11">
                  <c:v>668.26260500000001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1-45C7-A597-88D5BA9CDAB8}"/>
            </c:ext>
          </c:extLst>
        </c:ser>
        <c:ser>
          <c:idx val="1"/>
          <c:order val="1"/>
          <c:tx>
            <c:strRef>
              <c:f>'3.2'!$O$27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'3.2'!$M$28:$M$39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'3.2'!$O$28:$O$39</c:f>
              <c:numCache>
                <c:formatCode>#\ ##0.0</c:formatCode>
                <c:ptCount val="12"/>
                <c:pt idx="0">
                  <c:v>-1.5706849999999999</c:v>
                </c:pt>
                <c:pt idx="1">
                  <c:v>-1.1973499999999999</c:v>
                </c:pt>
                <c:pt idx="2">
                  <c:v>-1.9775699999999998</c:v>
                </c:pt>
                <c:pt idx="3">
                  <c:v>-282.18140500000004</c:v>
                </c:pt>
                <c:pt idx="4">
                  <c:v>-369.22932899999995</c:v>
                </c:pt>
                <c:pt idx="5">
                  <c:v>-592.22722899999997</c:v>
                </c:pt>
                <c:pt idx="6">
                  <c:v>-529.27211299999999</c:v>
                </c:pt>
                <c:pt idx="7">
                  <c:v>-512.76480400000003</c:v>
                </c:pt>
                <c:pt idx="8">
                  <c:v>-276.11546500000003</c:v>
                </c:pt>
                <c:pt idx="9">
                  <c:v>-13.949603999999999</c:v>
                </c:pt>
                <c:pt idx="10">
                  <c:v>-6.2219349999999993</c:v>
                </c:pt>
                <c:pt idx="11">
                  <c:v>-0.34435199999999999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D1-45C7-A597-88D5BA9CD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30"/>
        <c:axId val="162464128"/>
        <c:axId val="162465664"/>
      </c:barChart>
      <c:catAx>
        <c:axId val="1624641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62465664"/>
        <c:crosses val="autoZero"/>
        <c:auto val="1"/>
        <c:lblAlgn val="ctr"/>
        <c:lblOffset val="100"/>
        <c:noMultiLvlLbl val="0"/>
      </c:catAx>
      <c:valAx>
        <c:axId val="1624656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2464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8891071983580152E-3"/>
          <c:y val="0.92037766542394239"/>
          <c:w val="0.19180372348222202"/>
          <c:h val="7.907523343339069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5.4522924411400248E-2"/>
          <c:w val="0.77090245307366301"/>
          <c:h val="0.7506702182673262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'5.5'!$H$42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'5.5'!$I$41:$J$41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'5.5'!$I$42:$J$42</c:f>
              <c:numCache>
                <c:formatCode>0.0%</c:formatCode>
                <c:ptCount val="2"/>
                <c:pt idx="0">
                  <c:v>5.8261602916135392E-2</c:v>
                </c:pt>
                <c:pt idx="1">
                  <c:v>0.22066332943815714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0-410E-B795-EC65F30D31A1}"/>
            </c:ext>
          </c:extLst>
        </c:ser>
        <c:ser>
          <c:idx val="1"/>
          <c:order val="1"/>
          <c:tx>
            <c:strRef>
              <c:f>'5.5'!$H$43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'5.5'!$I$41:$J$41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'5.5'!$I$43:$J$43</c:f>
              <c:numCache>
                <c:formatCode>0.0%</c:formatCode>
                <c:ptCount val="2"/>
                <c:pt idx="0">
                  <c:v>6.2360803327453432E-2</c:v>
                </c:pt>
                <c:pt idx="1">
                  <c:v>0.46913838998449348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E0-410E-B795-EC65F30D31A1}"/>
            </c:ext>
          </c:extLst>
        </c:ser>
        <c:ser>
          <c:idx val="2"/>
          <c:order val="2"/>
          <c:tx>
            <c:strRef>
              <c:f>'5.5'!$H$44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'5.5'!$I$41:$J$41</c:f>
              <c:numCache>
                <c:formatCode>General</c:formatCode>
                <c:ptCount val="2"/>
                <c:pt idx="0">
                  <c:v>2025</c:v>
                </c:pt>
                <c:pt idx="1">
                  <c:v>2024</c:v>
                </c:pt>
              </c:numCache>
            </c:numRef>
          </c:cat>
          <c:val>
            <c:numRef>
              <c:f>'5.5'!$I$44:$J$44</c:f>
              <c:numCache>
                <c:formatCode>0.0%</c:formatCode>
                <c:ptCount val="2"/>
                <c:pt idx="0">
                  <c:v>0.87937759375641078</c:v>
                </c:pt>
                <c:pt idx="1">
                  <c:v>0.31019828057734922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E0-410E-B795-EC65F30D3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688640"/>
        <c:axId val="169047168"/>
      </c:barChart>
      <c:catAx>
        <c:axId val="16868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9047168"/>
        <c:crosses val="autoZero"/>
        <c:auto val="1"/>
        <c:lblAlgn val="ctr"/>
        <c:lblOffset val="100"/>
        <c:noMultiLvlLbl val="0"/>
      </c:catAx>
      <c:valAx>
        <c:axId val="16904716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86886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2280557227122625E-3"/>
          <c:y val="0.92641590804866869"/>
          <c:w val="0.8516868702796111"/>
          <c:h val="7.358391856423351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54C5-4D97-9705-2AF2BCE9BB93}"/>
              </c:ext>
            </c:extLst>
          </c:dPt>
          <c:cat>
            <c:strRef>
              <c:f>'5.6'!$A$7:$A$11</c:f>
              <c:strCache>
                <c:ptCount val="5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'5.6'!$C$7:$C$11</c:f>
              <c:numCache>
                <c:formatCode>#,##0</c:formatCode>
                <c:ptCount val="5"/>
                <c:pt idx="0">
                  <c:v>61319.272530718001</c:v>
                </c:pt>
                <c:pt idx="1">
                  <c:v>516789.69405630196</c:v>
                </c:pt>
                <c:pt idx="2">
                  <c:v>24900.195000000003</c:v>
                </c:pt>
                <c:pt idx="3">
                  <c:v>2480.5563000000002</c:v>
                </c:pt>
                <c:pt idx="4">
                  <c:v>605489.71788701997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C5-4D97-9705-2AF2BCE9B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633856"/>
        <c:axId val="170647936"/>
      </c:barChart>
      <c:catAx>
        <c:axId val="1706338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70647936"/>
        <c:crosses val="autoZero"/>
        <c:auto val="1"/>
        <c:lblAlgn val="ctr"/>
        <c:lblOffset val="100"/>
        <c:noMultiLvlLbl val="0"/>
      </c:catAx>
      <c:valAx>
        <c:axId val="17064793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633856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3355955752856697"/>
          <c:y val="0.20497323309304039"/>
          <c:w val="0.57618404471541451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2-75D4-4309-9AED-1B1D39D8D9A1}"/>
              </c:ext>
            </c:extLst>
          </c:dPt>
          <c:dPt>
            <c:idx val="1"/>
            <c:invertIfNegative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3-75D4-4309-9AED-1B1D39D8D9A1}"/>
              </c:ext>
            </c:extLst>
          </c:dPt>
          <c:dPt>
            <c:idx val="2"/>
            <c:invertIfNegative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4-75D4-4309-9AED-1B1D39D8D9A1}"/>
              </c:ext>
            </c:extLst>
          </c:dPt>
          <c:dPt>
            <c:idx val="3"/>
            <c:invertIfNegative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5-75D4-4309-9AED-1B1D39D8D9A1}"/>
              </c:ext>
            </c:extLst>
          </c:dPt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2BC-4465-971B-A3752841C877}"/>
              </c:ext>
            </c:extLst>
          </c:dPt>
          <c:cat>
            <c:strRef>
              <c:f>'5.6'!$A$7:$A$11</c:f>
              <c:strCache>
                <c:ptCount val="5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'5.6'!$G$7:$G$11</c:f>
              <c:numCache>
                <c:formatCode>#\ ##0.0</c:formatCode>
                <c:ptCount val="5"/>
                <c:pt idx="0">
                  <c:v>9.6935483870967722</c:v>
                </c:pt>
                <c:pt idx="1">
                  <c:v>8.1569892473118273</c:v>
                </c:pt>
                <c:pt idx="2">
                  <c:v>7.6967741935483867</c:v>
                </c:pt>
                <c:pt idx="3">
                  <c:v>8.1129032258064484</c:v>
                </c:pt>
                <c:pt idx="4">
                  <c:v>8.1129032258064484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BC-4465-971B-A3752841C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275584"/>
        <c:axId val="170277120"/>
      </c:barChart>
      <c:catAx>
        <c:axId val="1702755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277120"/>
        <c:crosses val="autoZero"/>
        <c:auto val="1"/>
        <c:lblAlgn val="ctr"/>
        <c:lblOffset val="100"/>
        <c:noMultiLvlLbl val="0"/>
      </c:catAx>
      <c:valAx>
        <c:axId val="170277120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275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2512737836553811"/>
          <c:h val="0.7871780359609028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E05-4306-9851-6169F5F521BE}"/>
              </c:ext>
            </c:extLst>
          </c:dPt>
          <c:cat>
            <c:strRef>
              <c:f>'5.6'!$A$7:$A$11</c:f>
              <c:strCache>
                <c:ptCount val="5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'5.6'!$H$7:$H$11</c:f>
              <c:numCache>
                <c:formatCode>#\ ##0.0</c:formatCode>
                <c:ptCount val="5"/>
                <c:pt idx="0">
                  <c:v>13.5</c:v>
                </c:pt>
                <c:pt idx="1">
                  <c:v>11.733333333333334</c:v>
                </c:pt>
                <c:pt idx="2">
                  <c:v>11.5</c:v>
                </c:pt>
                <c:pt idx="3">
                  <c:v>11.7</c:v>
                </c:pt>
                <c:pt idx="4">
                  <c:v>11.7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05-4306-9851-6169F5F521BE}"/>
            </c:ext>
          </c:extLst>
        </c:ser>
        <c:ser>
          <c:idx val="1"/>
          <c:order val="1"/>
          <c:spPr>
            <a:solidFill>
              <a:srgbClr val="C7CCD6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C7CCD6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FE05-4306-9851-6169F5F521BE}"/>
              </c:ext>
            </c:extLst>
          </c:dPt>
          <c:cat>
            <c:strRef>
              <c:f>'5.6'!$A$7:$A$11</c:f>
              <c:strCache>
                <c:ptCount val="5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'5.6'!$I$7:$I$11</c:f>
              <c:numCache>
                <c:formatCode>#\ ##0.0</c:formatCode>
                <c:ptCount val="5"/>
                <c:pt idx="0">
                  <c:v>5.2</c:v>
                </c:pt>
                <c:pt idx="1">
                  <c:v>3.6999999999999997</c:v>
                </c:pt>
                <c:pt idx="2">
                  <c:v>3.2</c:v>
                </c:pt>
                <c:pt idx="3">
                  <c:v>3.7</c:v>
                </c:pt>
                <c:pt idx="4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05-4306-9851-6169F5F52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0308352"/>
        <c:axId val="170309888"/>
      </c:barChart>
      <c:catAx>
        <c:axId val="1703083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309888"/>
        <c:crosses val="autoZero"/>
        <c:auto val="1"/>
        <c:lblAlgn val="ctr"/>
        <c:lblOffset val="100"/>
        <c:noMultiLvlLbl val="0"/>
      </c:catAx>
      <c:valAx>
        <c:axId val="170309888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3083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0-2A04-426F-B110-21F54C9DB531}"/>
              </c:ext>
            </c:extLst>
          </c:dPt>
          <c:dPt>
            <c:idx val="1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1-2A04-426F-B110-21F54C9DB531}"/>
              </c:ext>
            </c:extLst>
          </c:dPt>
          <c:dPt>
            <c:idx val="2"/>
            <c:bubble3D val="0"/>
            <c:spPr>
              <a:solidFill>
                <a:srgbClr val="C7CCD6"/>
              </a:solidFill>
            </c:spPr>
            <c:extLst>
              <c:ext xmlns:c16="http://schemas.microsoft.com/office/drawing/2014/chart" uri="{C3380CC4-5D6E-409C-BE32-E72D297353CC}">
                <c16:uniqueId val="{00000002-2A04-426F-B110-21F54C9DB531}"/>
              </c:ext>
            </c:extLst>
          </c:dPt>
          <c:dPt>
            <c:idx val="3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3-2A04-426F-B110-21F54C9DB531}"/>
              </c:ext>
            </c:extLst>
          </c:dPt>
          <c:dLbls>
            <c:dLbl>
              <c:idx val="0"/>
              <c:layout>
                <c:manualLayout>
                  <c:x val="-0.2092697417917585"/>
                  <c:y val="0.2400304925119654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04-426F-B110-21F54C9DB531}"/>
                </c:ext>
              </c:extLst>
            </c:dLbl>
            <c:dLbl>
              <c:idx val="1"/>
              <c:layout>
                <c:manualLayout>
                  <c:x val="0.33687823658444793"/>
                  <c:y val="-0.100879265091863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04-426F-B110-21F54C9DB531}"/>
                </c:ext>
              </c:extLst>
            </c:dLbl>
            <c:dLbl>
              <c:idx val="2"/>
              <c:layout>
                <c:manualLayout>
                  <c:x val="0.17075889327553034"/>
                  <c:y val="0.1534498996448972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04-426F-B110-21F54C9DB531}"/>
                </c:ext>
              </c:extLst>
            </c:dLbl>
            <c:dLbl>
              <c:idx val="3"/>
              <c:layout>
                <c:manualLayout>
                  <c:x val="-9.1761723357055621E-3"/>
                  <c:y val="0.2008591940713293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04-426F-B110-21F54C9DB53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'5.6'!$A$7:$A$10</c:f>
              <c:strCache>
                <c:ptCount val="4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</c:strCache>
            </c:strRef>
          </c:cat>
          <c:val>
            <c:numRef>
              <c:f>'5.6'!$E$7:$E$10</c:f>
              <c:numCache>
                <c:formatCode>0.0%</c:formatCode>
                <c:ptCount val="4"/>
                <c:pt idx="0">
                  <c:v>0.10127219458772005</c:v>
                </c:pt>
                <c:pt idx="1">
                  <c:v>0.8535069693003956</c:v>
                </c:pt>
                <c:pt idx="2">
                  <c:v>4.1124059194422524E-2</c:v>
                </c:pt>
                <c:pt idx="3">
                  <c:v>4.0967769174617991E-3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04-426F-B110-21F54C9DB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9F7F-4C12-9CAF-62086B6BC9E1}"/>
              </c:ext>
            </c:extLst>
          </c:dPt>
          <c:cat>
            <c:strRef>
              <c:f>'5.7'!$A$7:$A$11</c:f>
              <c:strCache>
                <c:ptCount val="5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'5.7'!$C$7:$C$11</c:f>
              <c:numCache>
                <c:formatCode>#,##0</c:formatCode>
                <c:ptCount val="5"/>
                <c:pt idx="0">
                  <c:v>94457.477201782996</c:v>
                </c:pt>
                <c:pt idx="1">
                  <c:v>675494.74195459008</c:v>
                </c:pt>
                <c:pt idx="2">
                  <c:v>33463.383000999987</c:v>
                </c:pt>
                <c:pt idx="3">
                  <c:v>2655.0845809999978</c:v>
                </c:pt>
                <c:pt idx="4">
                  <c:v>806070.68673837313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7F-4C12-9CAF-62086B6BC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968960"/>
        <c:axId val="170970496"/>
      </c:barChart>
      <c:catAx>
        <c:axId val="17096896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70970496"/>
        <c:crosses val="autoZero"/>
        <c:auto val="1"/>
        <c:lblAlgn val="ctr"/>
        <c:lblOffset val="100"/>
        <c:noMultiLvlLbl val="0"/>
      </c:catAx>
      <c:valAx>
        <c:axId val="17097049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968960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4170619442686651"/>
          <c:y val="0.20497323309304039"/>
          <c:w val="0.56803740781711498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ED29-486A-AE96-2524202E0B3F}"/>
              </c:ext>
            </c:extLst>
          </c:dPt>
          <c:cat>
            <c:strRef>
              <c:f>'5.7'!$A$7:$A$11</c:f>
              <c:strCache>
                <c:ptCount val="5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'5.7'!$G$7:$G$11</c:f>
              <c:numCache>
                <c:formatCode>#\ ##0.0</c:formatCode>
                <c:ptCount val="5"/>
                <c:pt idx="0">
                  <c:v>3.7566666666666668</c:v>
                </c:pt>
                <c:pt idx="1">
                  <c:v>2.8972222222222217</c:v>
                </c:pt>
                <c:pt idx="2">
                  <c:v>2.1400000000000006</c:v>
                </c:pt>
                <c:pt idx="3">
                  <c:v>2.8166666666666669</c:v>
                </c:pt>
                <c:pt idx="4">
                  <c:v>2.8166666666666669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29-486A-AE96-2524202E0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9095168"/>
        <c:axId val="169096704"/>
      </c:barChart>
      <c:catAx>
        <c:axId val="1690951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9096704"/>
        <c:crosses val="autoZero"/>
        <c:auto val="1"/>
        <c:lblAlgn val="ctr"/>
        <c:lblOffset val="100"/>
        <c:noMultiLvlLbl val="0"/>
      </c:catAx>
      <c:valAx>
        <c:axId val="169096704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90951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2117089963161121"/>
          <c:h val="0.8299875793646425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2DF-426E-8B9F-1A852D9FA533}"/>
              </c:ext>
            </c:extLst>
          </c:dPt>
          <c:cat>
            <c:strRef>
              <c:f>'5.7'!$A$7:$A$11</c:f>
              <c:strCache>
                <c:ptCount val="5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'5.7'!$H$7:$H$11</c:f>
              <c:numCache>
                <c:formatCode>#\ ##0.0</c:formatCode>
                <c:ptCount val="5"/>
                <c:pt idx="0">
                  <c:v>9.8000000000000007</c:v>
                </c:pt>
                <c:pt idx="1">
                  <c:v>9.7833333333333332</c:v>
                </c:pt>
                <c:pt idx="2">
                  <c:v>8.6</c:v>
                </c:pt>
                <c:pt idx="3">
                  <c:v>9.6999999999999993</c:v>
                </c:pt>
                <c:pt idx="4">
                  <c:v>9.6999999999999993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DF-426E-8B9F-1A852D9FA533}"/>
            </c:ext>
          </c:extLst>
        </c:ser>
        <c:ser>
          <c:idx val="1"/>
          <c:order val="1"/>
          <c:spPr>
            <a:solidFill>
              <a:srgbClr val="C7CCD6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C7CCD6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F2DF-426E-8B9F-1A852D9FA533}"/>
              </c:ext>
            </c:extLst>
          </c:dPt>
          <c:cat>
            <c:strRef>
              <c:f>'5.7'!$A$7:$A$11</c:f>
              <c:strCache>
                <c:ptCount val="5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'5.7'!$I$7:$I$11</c:f>
              <c:numCache>
                <c:formatCode>#\ ##0.0</c:formatCode>
                <c:ptCount val="5"/>
                <c:pt idx="0">
                  <c:v>-5</c:v>
                </c:pt>
                <c:pt idx="1">
                  <c:v>-5.6166666666666663</c:v>
                </c:pt>
                <c:pt idx="2">
                  <c:v>-6.3</c:v>
                </c:pt>
                <c:pt idx="3">
                  <c:v>-5.6</c:v>
                </c:pt>
                <c:pt idx="4">
                  <c:v>-5.6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DF-426E-8B9F-1A852D9FA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0811392"/>
        <c:axId val="170812928"/>
      </c:barChart>
      <c:catAx>
        <c:axId val="1708113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812928"/>
        <c:crosses val="autoZero"/>
        <c:auto val="1"/>
        <c:lblAlgn val="ctr"/>
        <c:lblOffset val="100"/>
        <c:noMultiLvlLbl val="0"/>
      </c:catAx>
      <c:valAx>
        <c:axId val="170812928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811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0-D74A-47F2-A3C8-F00D6B796032}"/>
              </c:ext>
            </c:extLst>
          </c:dPt>
          <c:dPt>
            <c:idx val="1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1-D74A-47F2-A3C8-F00D6B796032}"/>
              </c:ext>
            </c:extLst>
          </c:dPt>
          <c:dPt>
            <c:idx val="2"/>
            <c:bubble3D val="0"/>
            <c:spPr>
              <a:solidFill>
                <a:srgbClr val="C7CCD6"/>
              </a:solidFill>
            </c:spPr>
            <c:extLst>
              <c:ext xmlns:c16="http://schemas.microsoft.com/office/drawing/2014/chart" uri="{C3380CC4-5D6E-409C-BE32-E72D297353CC}">
                <c16:uniqueId val="{00000002-D74A-47F2-A3C8-F00D6B796032}"/>
              </c:ext>
            </c:extLst>
          </c:dPt>
          <c:dPt>
            <c:idx val="3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3-D74A-47F2-A3C8-F00D6B796032}"/>
              </c:ext>
            </c:extLst>
          </c:dPt>
          <c:dLbls>
            <c:dLbl>
              <c:idx val="0"/>
              <c:layout>
                <c:manualLayout>
                  <c:x val="-0.26884366845236024"/>
                  <c:y val="0.23022695692450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4A-47F2-A3C8-F00D6B796032}"/>
                </c:ext>
              </c:extLst>
            </c:dLbl>
            <c:dLbl>
              <c:idx val="1"/>
              <c:layout>
                <c:manualLayout>
                  <c:x val="0.33491624552514565"/>
                  <c:y val="-9.464362891034380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4A-47F2-A3C8-F00D6B796032}"/>
                </c:ext>
              </c:extLst>
            </c:dLbl>
            <c:dLbl>
              <c:idx val="2"/>
              <c:layout>
                <c:manualLayout>
                  <c:x val="0.19125068332858941"/>
                  <c:y val="0.1632538212135246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4A-47F2-A3C8-F00D6B796032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4A-47F2-A3C8-F00D6B79603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'5.7'!$A$7:$A$10</c:f>
              <c:strCache>
                <c:ptCount val="4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</c:strCache>
            </c:strRef>
          </c:cat>
          <c:val>
            <c:numRef>
              <c:f>'5.7'!$E$7:$E$10</c:f>
              <c:numCache>
                <c:formatCode>0.0%</c:formatCode>
                <c:ptCount val="4"/>
                <c:pt idx="0">
                  <c:v>0.11718262275978424</c:v>
                </c:pt>
                <c:pt idx="1">
                  <c:v>0.83800931241881993</c:v>
                </c:pt>
                <c:pt idx="2">
                  <c:v>4.1514204090963576E-2</c:v>
                </c:pt>
                <c:pt idx="3">
                  <c:v>3.293860730432144E-3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4A-47F2-A3C8-F00D6B796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5CB5-4FBE-977D-CDDB9242C6BE}"/>
              </c:ext>
            </c:extLst>
          </c:dPt>
          <c:cat>
            <c:strRef>
              <c:f>'5.8'!$A$7:$A$11</c:f>
              <c:strCache>
                <c:ptCount val="5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'5.8'!$C$7:$C$11</c:f>
              <c:numCache>
                <c:formatCode>#,##0</c:formatCode>
                <c:ptCount val="5"/>
                <c:pt idx="0">
                  <c:v>111882.775396571</c:v>
                </c:pt>
                <c:pt idx="1">
                  <c:v>752683.77542020404</c:v>
                </c:pt>
                <c:pt idx="2">
                  <c:v>36436.936001000002</c:v>
                </c:pt>
                <c:pt idx="3">
                  <c:v>37440.535808999994</c:v>
                </c:pt>
                <c:pt idx="4">
                  <c:v>938444.02262677508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B5-4FBE-977D-CDDB9242C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8719488"/>
        <c:axId val="168721024"/>
      </c:barChart>
      <c:catAx>
        <c:axId val="1687194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8721024"/>
        <c:crosses val="autoZero"/>
        <c:auto val="1"/>
        <c:lblAlgn val="ctr"/>
        <c:lblOffset val="100"/>
        <c:noMultiLvlLbl val="0"/>
      </c:catAx>
      <c:valAx>
        <c:axId val="168721024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8719488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987667222797443E-2"/>
          <c:y val="7.1139872600047768E-2"/>
          <c:w val="0.876392993628898"/>
          <c:h val="0.60742706380742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'4.1'!$E$28</c:f>
              <c:strCache>
                <c:ptCount val="1"/>
                <c:pt idx="0">
                  <c:v>Skutečnost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'4.1'!$D$29:$D$40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'4.1'!$E$29:$E$40</c:f>
              <c:numCache>
                <c:formatCode>#\ ##0.0</c:formatCode>
                <c:ptCount val="12"/>
                <c:pt idx="0">
                  <c:v>1044.1231458692557</c:v>
                </c:pt>
                <c:pt idx="1">
                  <c:v>961.93776684198417</c:v>
                </c:pt>
                <c:pt idx="2">
                  <c:v>750.99543483566788</c:v>
                </c:pt>
                <c:pt idx="3">
                  <c:v>502.89818413239283</c:v>
                </c:pt>
                <c:pt idx="4">
                  <c:v>414.64388831417494</c:v>
                </c:pt>
                <c:pt idx="5">
                  <c:v>299.40920238396802</c:v>
                </c:pt>
                <c:pt idx="6">
                  <c:v>294.89504768843807</c:v>
                </c:pt>
                <c:pt idx="7">
                  <c:v>268.41715528838796</c:v>
                </c:pt>
                <c:pt idx="8">
                  <c:v>320.26533562107511</c:v>
                </c:pt>
                <c:pt idx="9">
                  <c:v>605.48971788701988</c:v>
                </c:pt>
                <c:pt idx="10">
                  <c:v>806.07068673837307</c:v>
                </c:pt>
                <c:pt idx="11">
                  <c:v>938.44402379024746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34-4339-BB83-47F9E5C24E45}"/>
            </c:ext>
          </c:extLst>
        </c:ser>
        <c:ser>
          <c:idx val="1"/>
          <c:order val="1"/>
          <c:tx>
            <c:strRef>
              <c:f>'4.1'!$F$28</c:f>
              <c:strCache>
                <c:ptCount val="1"/>
                <c:pt idx="0">
                  <c:v>Přepočet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'4.1'!$D$29:$D$40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'4.1'!$F$29:$F$40</c:f>
              <c:numCache>
                <c:formatCode>#\ ##0.0</c:formatCode>
                <c:ptCount val="12"/>
                <c:pt idx="0">
                  <c:v>1108.1088840000853</c:v>
                </c:pt>
                <c:pt idx="1">
                  <c:v>932.91698346401404</c:v>
                </c:pt>
                <c:pt idx="2">
                  <c:v>810.13775562788601</c:v>
                </c:pt>
                <c:pt idx="3">
                  <c:v>557.38442108344702</c:v>
                </c:pt>
                <c:pt idx="4">
                  <c:v>381.56750196106975</c:v>
                </c:pt>
                <c:pt idx="5">
                  <c:v>303.1602252985378</c:v>
                </c:pt>
                <c:pt idx="6">
                  <c:v>293.56246588155869</c:v>
                </c:pt>
                <c:pt idx="7">
                  <c:v>267.8776735482196</c:v>
                </c:pt>
                <c:pt idx="8">
                  <c:v>329.02307469110218</c:v>
                </c:pt>
                <c:pt idx="9">
                  <c:v>595.24201444708933</c:v>
                </c:pt>
                <c:pt idx="10">
                  <c:v>761.73875647541217</c:v>
                </c:pt>
                <c:pt idx="11">
                  <c:v>982.74237546636175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34-4339-BB83-47F9E5C24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2885632"/>
        <c:axId val="162887168"/>
      </c:barChart>
      <c:catAx>
        <c:axId val="162885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62887168"/>
        <c:crosses val="autoZero"/>
        <c:auto val="1"/>
        <c:lblAlgn val="ctr"/>
        <c:lblOffset val="100"/>
        <c:noMultiLvlLbl val="0"/>
      </c:catAx>
      <c:valAx>
        <c:axId val="1628871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28856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8090010774851205E-3"/>
          <c:y val="0.89268772123053763"/>
          <c:w val="0.28870175114184005"/>
          <c:h val="9.601031095304514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3355955752856697"/>
          <c:y val="0.20497323309304039"/>
          <c:w val="0.57618404471541451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B2B5-4B1A-8498-97C66ED7FF48}"/>
              </c:ext>
            </c:extLst>
          </c:dPt>
          <c:cat>
            <c:strRef>
              <c:f>'5.8'!$A$7:$A$11</c:f>
              <c:strCache>
                <c:ptCount val="5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'5.8'!$G$7:$G$11</c:f>
              <c:numCache>
                <c:formatCode>#\ ##0.0</c:formatCode>
                <c:ptCount val="5"/>
                <c:pt idx="0">
                  <c:v>2.1677419354838712</c:v>
                </c:pt>
                <c:pt idx="1">
                  <c:v>1.274193548387097</c:v>
                </c:pt>
                <c:pt idx="2">
                  <c:v>0.59032258064516119</c:v>
                </c:pt>
                <c:pt idx="3">
                  <c:v>1.2032258064516128</c:v>
                </c:pt>
                <c:pt idx="4">
                  <c:v>1.2032258064516128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B5-4B1A-8498-97C66ED7F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900480"/>
        <c:axId val="170902272"/>
      </c:barChart>
      <c:catAx>
        <c:axId val="1709004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902272"/>
        <c:crosses val="autoZero"/>
        <c:auto val="1"/>
        <c:lblAlgn val="ctr"/>
        <c:lblOffset val="100"/>
        <c:noMultiLvlLbl val="0"/>
      </c:catAx>
      <c:valAx>
        <c:axId val="170902272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900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2512737836553811"/>
          <c:h val="0.81424572325100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4A63-446F-ACAA-1D638CAF4F26}"/>
              </c:ext>
            </c:extLst>
          </c:dPt>
          <c:cat>
            <c:strRef>
              <c:f>'5.8'!$A$7:$A$11</c:f>
              <c:strCache>
                <c:ptCount val="5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'5.8'!$H$7:$H$11</c:f>
              <c:numCache>
                <c:formatCode>#\ ##0.0</c:formatCode>
                <c:ptCount val="5"/>
                <c:pt idx="0">
                  <c:v>11.2</c:v>
                </c:pt>
                <c:pt idx="1">
                  <c:v>8.3166666666666682</c:v>
                </c:pt>
                <c:pt idx="2">
                  <c:v>8.3000000000000007</c:v>
                </c:pt>
                <c:pt idx="3">
                  <c:v>8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63-446F-ACAA-1D638CAF4F26}"/>
            </c:ext>
          </c:extLst>
        </c:ser>
        <c:ser>
          <c:idx val="1"/>
          <c:order val="1"/>
          <c:spPr>
            <a:solidFill>
              <a:srgbClr val="C7CCD6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C7CCD6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4A63-446F-ACAA-1D638CAF4F26}"/>
              </c:ext>
            </c:extLst>
          </c:dPt>
          <c:cat>
            <c:strRef>
              <c:f>'5.8'!$A$7:$A$11</c:f>
              <c:strCache>
                <c:ptCount val="5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'5.8'!$I$7:$I$11</c:f>
              <c:numCache>
                <c:formatCode>#\ ##0.0</c:formatCode>
                <c:ptCount val="5"/>
                <c:pt idx="0">
                  <c:v>-3.8</c:v>
                </c:pt>
                <c:pt idx="1">
                  <c:v>-4.4666666666666668</c:v>
                </c:pt>
                <c:pt idx="2">
                  <c:v>-3.2</c:v>
                </c:pt>
                <c:pt idx="3">
                  <c:v>-4.0999999999999996</c:v>
                </c:pt>
                <c:pt idx="4">
                  <c:v>-4.0999999999999996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63-446F-ACAA-1D638CAF4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8795136"/>
        <c:axId val="168796928"/>
      </c:barChart>
      <c:catAx>
        <c:axId val="1687951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8796928"/>
        <c:crosses val="autoZero"/>
        <c:auto val="1"/>
        <c:lblAlgn val="ctr"/>
        <c:lblOffset val="100"/>
        <c:noMultiLvlLbl val="0"/>
      </c:catAx>
      <c:valAx>
        <c:axId val="168796928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87951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spPr>
            <a:solidFill>
              <a:srgbClr val="233060"/>
            </a:solidFill>
          </c:spPr>
          <c:dPt>
            <c:idx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0-29A4-4EB2-A29D-EA3C089C4B4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9A4-4EB2-A29D-EA3C089C4B49}"/>
              </c:ext>
            </c:extLst>
          </c:dPt>
          <c:dPt>
            <c:idx val="2"/>
            <c:bubble3D val="0"/>
            <c:spPr>
              <a:solidFill>
                <a:srgbClr val="C7CCD6"/>
              </a:solidFill>
            </c:spPr>
            <c:extLst>
              <c:ext xmlns:c16="http://schemas.microsoft.com/office/drawing/2014/chart" uri="{C3380CC4-5D6E-409C-BE32-E72D297353CC}">
                <c16:uniqueId val="{00000002-29A4-4EB2-A29D-EA3C089C4B49}"/>
              </c:ext>
            </c:extLst>
          </c:dPt>
          <c:dPt>
            <c:idx val="3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3-29A4-4EB2-A29D-EA3C089C4B49}"/>
              </c:ext>
            </c:extLst>
          </c:dPt>
          <c:dLbls>
            <c:dLbl>
              <c:idx val="0"/>
              <c:layout>
                <c:manualLayout>
                  <c:x val="-0.17481783779673074"/>
                  <c:y val="0.210619113787247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A4-4EB2-A29D-EA3C089C4B49}"/>
                </c:ext>
              </c:extLst>
            </c:dLbl>
            <c:dLbl>
              <c:idx val="1"/>
              <c:layout>
                <c:manualLayout>
                  <c:x val="0.36759483548082744"/>
                  <c:y val="-9.107534352323606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A4-4EB2-A29D-EA3C089C4B49}"/>
                </c:ext>
              </c:extLst>
            </c:dLbl>
            <c:dLbl>
              <c:idx val="2"/>
              <c:layout>
                <c:manualLayout>
                  <c:x val="0.21584083139226054"/>
                  <c:y val="0.1975675467037206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A4-4EB2-A29D-EA3C089C4B49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A4-4EB2-A29D-EA3C089C4B4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'5.8'!$A$7:$A$10</c:f>
              <c:strCache>
                <c:ptCount val="4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</c:strCache>
            </c:strRef>
          </c:cat>
          <c:val>
            <c:numRef>
              <c:f>'5.8'!$E$7:$E$10</c:f>
              <c:numCache>
                <c:formatCode>0.0%</c:formatCode>
                <c:ptCount val="4"/>
                <c:pt idx="0">
                  <c:v>0.11922157603327552</c:v>
                </c:pt>
                <c:pt idx="1">
                  <c:v>0.80205505845024805</c:v>
                </c:pt>
                <c:pt idx="2">
                  <c:v>3.882696796236209E-2</c:v>
                </c:pt>
                <c:pt idx="3">
                  <c:v>3.9896397554114234E-2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A4-4EB2-A29D-EA3C089C4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8A53-42DC-AA31-2FE6E2913223}"/>
              </c:ext>
            </c:extLst>
          </c:dPt>
          <c:cat>
            <c:strRef>
              <c:f>'5.9'!$A$7:$A$11</c:f>
              <c:strCache>
                <c:ptCount val="5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'5.9'!$C$7:$C$11</c:f>
              <c:numCache>
                <c:formatCode>#,##0</c:formatCode>
                <c:ptCount val="5"/>
                <c:pt idx="0">
                  <c:v>267659.52512907202</c:v>
                </c:pt>
                <c:pt idx="1">
                  <c:v>1944968.2114310961</c:v>
                </c:pt>
                <c:pt idx="2">
                  <c:v>94800.514001999996</c:v>
                </c:pt>
                <c:pt idx="3">
                  <c:v>42576.176690000008</c:v>
                </c:pt>
                <c:pt idx="4">
                  <c:v>2350004.4284156403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53-42DC-AA31-2FE6E2913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1528576"/>
        <c:axId val="171530112"/>
      </c:barChart>
      <c:catAx>
        <c:axId val="1715285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71530112"/>
        <c:crosses val="autoZero"/>
        <c:auto val="1"/>
        <c:lblAlgn val="ctr"/>
        <c:lblOffset val="100"/>
        <c:noMultiLvlLbl val="0"/>
      </c:catAx>
      <c:valAx>
        <c:axId val="17153011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5285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254129206302675"/>
          <c:y val="0.20497323309304039"/>
          <c:w val="0.5843306816137140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D3EA-4BED-B822-0F67D5D34198}"/>
              </c:ext>
            </c:extLst>
          </c:dPt>
          <c:cat>
            <c:strRef>
              <c:f>'5.9'!$A$7:$A$11</c:f>
              <c:strCache>
                <c:ptCount val="5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'5.9'!$G$7:$G$11</c:f>
              <c:numCache>
                <c:formatCode>#\ ##0.0</c:formatCode>
                <c:ptCount val="5"/>
                <c:pt idx="0">
                  <c:v>5.205985663082437</c:v>
                </c:pt>
                <c:pt idx="1">
                  <c:v>4.1094683393070488</c:v>
                </c:pt>
                <c:pt idx="2">
                  <c:v>3.4756989247311822</c:v>
                </c:pt>
                <c:pt idx="3">
                  <c:v>4.0442652329749089</c:v>
                </c:pt>
                <c:pt idx="4">
                  <c:v>4.0442652329749089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EA-4BED-B822-0F67D5D34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1563264"/>
        <c:axId val="171569152"/>
      </c:barChart>
      <c:catAx>
        <c:axId val="17156326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1569152"/>
        <c:crosses val="autoZero"/>
        <c:auto val="1"/>
        <c:lblAlgn val="ctr"/>
        <c:lblOffset val="100"/>
        <c:noMultiLvlLbl val="0"/>
      </c:catAx>
      <c:valAx>
        <c:axId val="171569152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563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1721442089768441"/>
          <c:h val="0.8020500174698310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C6EC-4732-BE63-1707B24CD49D}"/>
              </c:ext>
            </c:extLst>
          </c:dPt>
          <c:cat>
            <c:strRef>
              <c:f>'5.9'!$A$7:$A$11</c:f>
              <c:strCache>
                <c:ptCount val="5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'5.9'!$H$7:$H$11</c:f>
              <c:numCache>
                <c:formatCode>#\ ##0.0</c:formatCode>
                <c:ptCount val="5"/>
                <c:pt idx="0">
                  <c:v>13.5</c:v>
                </c:pt>
                <c:pt idx="1">
                  <c:v>11.733333333333334</c:v>
                </c:pt>
                <c:pt idx="2">
                  <c:v>11.5</c:v>
                </c:pt>
                <c:pt idx="3">
                  <c:v>11.7</c:v>
                </c:pt>
                <c:pt idx="4">
                  <c:v>11.7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EC-4732-BE63-1707B24CD49D}"/>
            </c:ext>
          </c:extLst>
        </c:ser>
        <c:ser>
          <c:idx val="1"/>
          <c:order val="1"/>
          <c:spPr>
            <a:solidFill>
              <a:srgbClr val="C7CCD6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C7CCD6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C6EC-4732-BE63-1707B24CD49D}"/>
              </c:ext>
            </c:extLst>
          </c:dPt>
          <c:cat>
            <c:strRef>
              <c:f>'5.9'!$A$7:$A$11</c:f>
              <c:strCache>
                <c:ptCount val="5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'5.9'!$I$7:$I$11</c:f>
              <c:numCache>
                <c:formatCode>#\ ##0.0</c:formatCode>
                <c:ptCount val="5"/>
                <c:pt idx="0">
                  <c:v>-5</c:v>
                </c:pt>
                <c:pt idx="1">
                  <c:v>-5.6166666666666663</c:v>
                </c:pt>
                <c:pt idx="2">
                  <c:v>-6.3</c:v>
                </c:pt>
                <c:pt idx="3">
                  <c:v>-5.6</c:v>
                </c:pt>
                <c:pt idx="4">
                  <c:v>-5.6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EC-4732-BE63-1707B24CD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1600128"/>
        <c:axId val="171601920"/>
      </c:barChart>
      <c:catAx>
        <c:axId val="1716001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1601920"/>
        <c:crosses val="autoZero"/>
        <c:auto val="1"/>
        <c:lblAlgn val="ctr"/>
        <c:lblOffset val="100"/>
        <c:noMultiLvlLbl val="0"/>
      </c:catAx>
      <c:valAx>
        <c:axId val="171601920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6001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0-B89B-4832-B10E-25928D6B472E}"/>
              </c:ext>
            </c:extLst>
          </c:dPt>
          <c:dPt>
            <c:idx val="1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1-B89B-4832-B10E-25928D6B472E}"/>
              </c:ext>
            </c:extLst>
          </c:dPt>
          <c:dPt>
            <c:idx val="2"/>
            <c:bubble3D val="0"/>
            <c:spPr>
              <a:solidFill>
                <a:srgbClr val="C7CCD6"/>
              </a:solidFill>
            </c:spPr>
            <c:extLst>
              <c:ext xmlns:c16="http://schemas.microsoft.com/office/drawing/2014/chart" uri="{C3380CC4-5D6E-409C-BE32-E72D297353CC}">
                <c16:uniqueId val="{00000002-B89B-4832-B10E-25928D6B472E}"/>
              </c:ext>
            </c:extLst>
          </c:dPt>
          <c:dPt>
            <c:idx val="3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3-B89B-4832-B10E-25928D6B472E}"/>
              </c:ext>
            </c:extLst>
          </c:dPt>
          <c:dLbls>
            <c:dLbl>
              <c:idx val="0"/>
              <c:layout>
                <c:manualLayout>
                  <c:x val="-0.17801356659866183"/>
                  <c:y val="0.2008151922186197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9B-4832-B10E-25928D6B472E}"/>
                </c:ext>
              </c:extLst>
            </c:dLbl>
            <c:dLbl>
              <c:idx val="1"/>
              <c:layout>
                <c:manualLayout>
                  <c:x val="0.33594444964749431"/>
                  <c:y val="-0.1135733296495832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9B-4832-B10E-25928D6B472E}"/>
                </c:ext>
              </c:extLst>
            </c:dLbl>
            <c:dLbl>
              <c:idx val="2"/>
              <c:layout>
                <c:manualLayout>
                  <c:x val="0.21584083139226048"/>
                  <c:y val="0.197567546703720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9B-4832-B10E-25928D6B472E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9B-4832-B10E-25928D6B472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'5.9'!$A$7:$A$10</c:f>
              <c:strCache>
                <c:ptCount val="4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</c:strCache>
            </c:strRef>
          </c:cat>
          <c:val>
            <c:numRef>
              <c:f>'5.9'!$E$7:$E$10</c:f>
              <c:numCache>
                <c:formatCode>0.0%</c:formatCode>
                <c:ptCount val="4"/>
                <c:pt idx="0">
                  <c:v>0.11389745563565877</c:v>
                </c:pt>
                <c:pt idx="1">
                  <c:v>0.82764448777757527</c:v>
                </c:pt>
                <c:pt idx="2">
                  <c:v>4.0340568237104968E-2</c:v>
                </c:pt>
                <c:pt idx="3">
                  <c:v>1.8117487854567418E-2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9B-4832-B10E-25928D6B4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88368183584301"/>
          <c:y val="6.4472404866917424E-2"/>
          <c:w val="0.7690258581725623"/>
          <c:h val="0.736058075754549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'5.10'!$D$31</c:f>
              <c:strCache>
                <c:ptCount val="1"/>
                <c:pt idx="0">
                  <c:v>I. čtvrtletí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'5.10'!$E$30:$H$30</c:f>
              <c:strCache>
                <c:ptCount val="4"/>
                <c:pt idx="0">
                  <c:v>PPD</c:v>
                </c:pt>
                <c:pt idx="1">
                  <c:v> GasNet</c:v>
                </c:pt>
                <c:pt idx="2">
                  <c:v> GasD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'5.10'!$E$31:$H$31</c:f>
              <c:numCache>
                <c:formatCode>General</c:formatCode>
                <c:ptCount val="4"/>
                <c:pt idx="0">
                  <c:v>314387.16037437099</c:v>
                </c:pt>
                <c:pt idx="1">
                  <c:v>2213513.5340925371</c:v>
                </c:pt>
                <c:pt idx="2">
                  <c:v>108920.49400000001</c:v>
                </c:pt>
                <c:pt idx="3">
                  <c:v>120235.15907999998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67-498D-83D8-17C8283F0A2B}"/>
            </c:ext>
          </c:extLst>
        </c:ser>
        <c:ser>
          <c:idx val="1"/>
          <c:order val="1"/>
          <c:tx>
            <c:strRef>
              <c:f>'5.10'!$D$32</c:f>
              <c:strCache>
                <c:ptCount val="1"/>
                <c:pt idx="0">
                  <c:v>II. čtvrtletí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cat>
            <c:strRef>
              <c:f>'5.10'!$E$30:$H$30</c:f>
              <c:strCache>
                <c:ptCount val="4"/>
                <c:pt idx="0">
                  <c:v>PPD</c:v>
                </c:pt>
                <c:pt idx="1">
                  <c:v> GasNet</c:v>
                </c:pt>
                <c:pt idx="2">
                  <c:v> GasD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'5.10'!$E$32:$H$32</c:f>
              <c:numCache>
                <c:formatCode>General</c:formatCode>
                <c:ptCount val="4"/>
                <c:pt idx="0">
                  <c:v>102643.98878967899</c:v>
                </c:pt>
                <c:pt idx="1">
                  <c:v>966426.08492085687</c:v>
                </c:pt>
                <c:pt idx="2">
                  <c:v>46694.846999999994</c:v>
                </c:pt>
                <c:pt idx="3">
                  <c:v>101186.35412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67-498D-83D8-17C8283F0A2B}"/>
            </c:ext>
          </c:extLst>
        </c:ser>
        <c:ser>
          <c:idx val="2"/>
          <c:order val="2"/>
          <c:tx>
            <c:strRef>
              <c:f>'5.10'!$D$33</c:f>
              <c:strCache>
                <c:ptCount val="1"/>
                <c:pt idx="0">
                  <c:v>III. čtvrtletí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'5.10'!$E$30:$H$30</c:f>
              <c:strCache>
                <c:ptCount val="4"/>
                <c:pt idx="0">
                  <c:v>PPD</c:v>
                </c:pt>
                <c:pt idx="1">
                  <c:v> GasNet</c:v>
                </c:pt>
                <c:pt idx="2">
                  <c:v> GasD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'5.10'!$E$33:$H$33</c:f>
              <c:numCache>
                <c:formatCode>General</c:formatCode>
                <c:ptCount val="4"/>
                <c:pt idx="0">
                  <c:v>61280.689219290005</c:v>
                </c:pt>
                <c:pt idx="1">
                  <c:v>738264.57627961098</c:v>
                </c:pt>
                <c:pt idx="2">
                  <c:v>36530.434999999998</c:v>
                </c:pt>
                <c:pt idx="3">
                  <c:v>47501.838099000001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67-498D-83D8-17C8283F0A2B}"/>
            </c:ext>
          </c:extLst>
        </c:ser>
        <c:ser>
          <c:idx val="3"/>
          <c:order val="3"/>
          <c:tx>
            <c:strRef>
              <c:f>'5.10'!$D$34</c:f>
              <c:strCache>
                <c:ptCount val="1"/>
                <c:pt idx="0">
                  <c:v>IV. čtvrtletí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cat>
            <c:strRef>
              <c:f>'5.10'!$E$30:$H$30</c:f>
              <c:strCache>
                <c:ptCount val="4"/>
                <c:pt idx="0">
                  <c:v>PPD</c:v>
                </c:pt>
                <c:pt idx="1">
                  <c:v> GasNet</c:v>
                </c:pt>
                <c:pt idx="2">
                  <c:v> GasD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'5.10'!$E$34:$H$34</c:f>
              <c:numCache>
                <c:formatCode>General</c:formatCode>
                <c:ptCount val="4"/>
                <c:pt idx="0">
                  <c:v>267659.52512907202</c:v>
                </c:pt>
                <c:pt idx="1">
                  <c:v>1944968.2114310961</c:v>
                </c:pt>
                <c:pt idx="2">
                  <c:v>94800.514002000011</c:v>
                </c:pt>
                <c:pt idx="3">
                  <c:v>42576.17669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67-498D-83D8-17C8283F0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1329792"/>
        <c:axId val="171335680"/>
      </c:barChart>
      <c:catAx>
        <c:axId val="17132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1335680"/>
        <c:crosses val="autoZero"/>
        <c:auto val="1"/>
        <c:lblAlgn val="ctr"/>
        <c:lblOffset val="100"/>
        <c:noMultiLvlLbl val="0"/>
      </c:catAx>
      <c:valAx>
        <c:axId val="171335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71329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6666270190546593E-3"/>
          <c:y val="0.92739706505758956"/>
          <c:w val="0.42063452038283733"/>
          <c:h val="5.049520595639830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203704160804351"/>
          <c:y val="0.11005524565183827"/>
          <c:w val="0.5467811978048198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cat>
            <c:strRef>
              <c:f>'6.8'!$A$7:$A$20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'6.8'!$D$7:$D$20</c:f>
              <c:numCache>
                <c:formatCode>#,##0</c:formatCode>
                <c:ptCount val="14"/>
                <c:pt idx="0">
                  <c:v>249508.96631399999</c:v>
                </c:pt>
                <c:pt idx="1">
                  <c:v>836765.76994999987</c:v>
                </c:pt>
                <c:pt idx="2">
                  <c:v>259949.05700999999</c:v>
                </c:pt>
                <c:pt idx="3">
                  <c:v>319959.91823000007</c:v>
                </c:pt>
                <c:pt idx="4">
                  <c:v>257454.42376999999</c:v>
                </c:pt>
                <c:pt idx="5">
                  <c:v>785027.74225999997</c:v>
                </c:pt>
                <c:pt idx="6">
                  <c:v>438866.37842000002</c:v>
                </c:pt>
                <c:pt idx="7">
                  <c:v>305598.13635799999</c:v>
                </c:pt>
                <c:pt idx="8">
                  <c:v>308106.48082</c:v>
                </c:pt>
                <c:pt idx="9">
                  <c:v>590825.11016310309</c:v>
                </c:pt>
                <c:pt idx="10">
                  <c:v>974549.00360405003</c:v>
                </c:pt>
                <c:pt idx="11">
                  <c:v>686871.76361299993</c:v>
                </c:pt>
                <c:pt idx="12">
                  <c:v>269874.67280999996</c:v>
                </c:pt>
                <c:pt idx="13">
                  <c:v>333721.01887999999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32-4EEC-B421-FF999B4A7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227200"/>
        <c:axId val="170676608"/>
      </c:barChart>
      <c:catAx>
        <c:axId val="17222720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0676608"/>
        <c:crosses val="autoZero"/>
        <c:auto val="1"/>
        <c:lblAlgn val="ctr"/>
        <c:lblOffset val="100"/>
        <c:noMultiLvlLbl val="0"/>
      </c:catAx>
      <c:valAx>
        <c:axId val="17067660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2272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322834645669287"/>
          <c:y val="0.11005524565183827"/>
          <c:w val="0.6265152200802486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cat>
            <c:strRef>
              <c:f>'6.8'!$A$7:$A$20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'6.8'!$G$7:$G$20</c:f>
              <c:numCache>
                <c:formatCode>#\ ##0.0</c:formatCode>
                <c:ptCount val="14"/>
                <c:pt idx="0">
                  <c:v>7.6451612903225801</c:v>
                </c:pt>
                <c:pt idx="1">
                  <c:v>9.1322580645161295</c:v>
                </c:pt>
                <c:pt idx="2">
                  <c:v>7.1419354838709648</c:v>
                </c:pt>
                <c:pt idx="3">
                  <c:v>7.6354838709677431</c:v>
                </c:pt>
                <c:pt idx="4">
                  <c:v>8.0193548387096758</c:v>
                </c:pt>
                <c:pt idx="5">
                  <c:v>7.977419354838708</c:v>
                </c:pt>
                <c:pt idx="6">
                  <c:v>8.0870967741935473</c:v>
                </c:pt>
                <c:pt idx="7">
                  <c:v>8.1548387096774171</c:v>
                </c:pt>
                <c:pt idx="8">
                  <c:v>8.241935483870968</c:v>
                </c:pt>
                <c:pt idx="9">
                  <c:v>10.077419354838709</c:v>
                </c:pt>
                <c:pt idx="10">
                  <c:v>8.8354838709677423</c:v>
                </c:pt>
                <c:pt idx="11">
                  <c:v>8.6709677419354865</c:v>
                </c:pt>
                <c:pt idx="12">
                  <c:v>7.4451612903225799</c:v>
                </c:pt>
                <c:pt idx="13">
                  <c:v>7.7129032258064507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0-40A7-9323-2A912D867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713088"/>
        <c:axId val="170714624"/>
      </c:barChart>
      <c:catAx>
        <c:axId val="17071308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0714624"/>
        <c:crosses val="autoZero"/>
        <c:auto val="1"/>
        <c:lblAlgn val="ctr"/>
        <c:lblOffset val="100"/>
        <c:noMultiLvlLbl val="0"/>
      </c:catAx>
      <c:valAx>
        <c:axId val="170714624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713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7921641351791E-2"/>
          <c:y val="7.1836716223887848E-2"/>
          <c:w val="0.90558639762917237"/>
          <c:h val="0.603581654229367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'4.1'!$N$28</c:f>
              <c:strCache>
                <c:ptCount val="1"/>
                <c:pt idx="0">
                  <c:v> Průměr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'4.1'!$M$29:$M$40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'4.1'!$N$29:$N$40</c:f>
              <c:numCache>
                <c:formatCode>#\ ##0.0</c:formatCode>
                <c:ptCount val="12"/>
                <c:pt idx="0">
                  <c:v>0.45806774193548383</c:v>
                </c:pt>
                <c:pt idx="1">
                  <c:v>-0.79639285714285712</c:v>
                </c:pt>
                <c:pt idx="2">
                  <c:v>5.258064516129032</c:v>
                </c:pt>
                <c:pt idx="3">
                  <c:v>10.493333333333334</c:v>
                </c:pt>
                <c:pt idx="4">
                  <c:v>11.441935483870969</c:v>
                </c:pt>
                <c:pt idx="5">
                  <c:v>18.329999999999998</c:v>
                </c:pt>
                <c:pt idx="6">
                  <c:v>18.161290322580648</c:v>
                </c:pt>
                <c:pt idx="7">
                  <c:v>17.899999999999999</c:v>
                </c:pt>
                <c:pt idx="8">
                  <c:v>14.100000000000001</c:v>
                </c:pt>
                <c:pt idx="9">
                  <c:v>8.1129032258064484</c:v>
                </c:pt>
                <c:pt idx="10">
                  <c:v>2.8166666666666669</c:v>
                </c:pt>
                <c:pt idx="11">
                  <c:v>1.2032258064516128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79-4DE4-B41C-175144B27E86}"/>
            </c:ext>
          </c:extLst>
        </c:ser>
        <c:ser>
          <c:idx val="1"/>
          <c:order val="1"/>
          <c:tx>
            <c:strRef>
              <c:f>'4.1'!$O$28</c:f>
              <c:strCache>
                <c:ptCount val="1"/>
                <c:pt idx="0">
                  <c:v> Normál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'4.1'!$M$29:$M$40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'4.1'!$O$29:$O$40</c:f>
              <c:numCache>
                <c:formatCode>#\ ##0.0</c:formatCode>
                <c:ptCount val="12"/>
                <c:pt idx="0">
                  <c:v>-1.1741935483870967</c:v>
                </c:pt>
                <c:pt idx="1">
                  <c:v>0.26896551724137935</c:v>
                </c:pt>
                <c:pt idx="2">
                  <c:v>3.4870967741935481</c:v>
                </c:pt>
                <c:pt idx="3">
                  <c:v>8.6933333333333316</c:v>
                </c:pt>
                <c:pt idx="4">
                  <c:v>13.409677419354839</c:v>
                </c:pt>
                <c:pt idx="5">
                  <c:v>17</c:v>
                </c:pt>
                <c:pt idx="6">
                  <c:v>18.674193548387095</c:v>
                </c:pt>
                <c:pt idx="7">
                  <c:v>18.203225806451616</c:v>
                </c:pt>
                <c:pt idx="8">
                  <c:v>13.360000000000001</c:v>
                </c:pt>
                <c:pt idx="9">
                  <c:v>8.6774193548387117</c:v>
                </c:pt>
                <c:pt idx="10">
                  <c:v>3.9166666666666656</c:v>
                </c:pt>
                <c:pt idx="11">
                  <c:v>-8.0645161290322551E-2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79-4DE4-B41C-175144B27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2896512"/>
        <c:axId val="162914688"/>
      </c:barChart>
      <c:catAx>
        <c:axId val="162896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62914688"/>
        <c:crosses val="autoZero"/>
        <c:auto val="1"/>
        <c:lblAlgn val="ctr"/>
        <c:lblOffset val="100"/>
        <c:noMultiLvlLbl val="0"/>
      </c:catAx>
      <c:valAx>
        <c:axId val="1629146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28965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117552045021956E-3"/>
          <c:y val="0.89591169395866144"/>
          <c:w val="0.22936697982969578"/>
          <c:h val="9.695077050920250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939692883217182"/>
          <c:y val="0.11005524565183827"/>
          <c:w val="0.6303466377047696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cat>
            <c:strRef>
              <c:f>'6.9'!$A$7:$A$20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'6.9'!$G$7:$G$20</c:f>
              <c:numCache>
                <c:formatCode>#\ ##0.0</c:formatCode>
                <c:ptCount val="14"/>
                <c:pt idx="0">
                  <c:v>2.1266666666666669</c:v>
                </c:pt>
                <c:pt idx="1">
                  <c:v>3.8799999999999994</c:v>
                </c:pt>
                <c:pt idx="2">
                  <c:v>1.9600000000000004</c:v>
                </c:pt>
                <c:pt idx="3">
                  <c:v>2.9133333333333344</c:v>
                </c:pt>
                <c:pt idx="4">
                  <c:v>3.4166666666666674</c:v>
                </c:pt>
                <c:pt idx="5">
                  <c:v>3.3033333333333341</c:v>
                </c:pt>
                <c:pt idx="6">
                  <c:v>3.2133333333333338</c:v>
                </c:pt>
                <c:pt idx="7">
                  <c:v>3.0833333333333335</c:v>
                </c:pt>
                <c:pt idx="8">
                  <c:v>2.31</c:v>
                </c:pt>
                <c:pt idx="9">
                  <c:v>4.12</c:v>
                </c:pt>
                <c:pt idx="10">
                  <c:v>3.0833333333333326</c:v>
                </c:pt>
                <c:pt idx="11">
                  <c:v>2.9299999999999997</c:v>
                </c:pt>
                <c:pt idx="12">
                  <c:v>2.1966666666666677</c:v>
                </c:pt>
                <c:pt idx="13">
                  <c:v>3.163333333333334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C5-4B34-B926-0E1E11563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1095936"/>
        <c:axId val="171097472"/>
      </c:barChart>
      <c:catAx>
        <c:axId val="17109593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1097472"/>
        <c:crosses val="autoZero"/>
        <c:auto val="1"/>
        <c:lblAlgn val="ctr"/>
        <c:lblOffset val="100"/>
        <c:noMultiLvlLbl val="0"/>
      </c:catAx>
      <c:valAx>
        <c:axId val="171097472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0959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531812833740611"/>
          <c:y val="0.11005524565183827"/>
          <c:w val="0.56350011107545717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cat>
            <c:strRef>
              <c:f>'6.9'!$A$7:$A$20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'6.9'!$D$7:$D$20</c:f>
              <c:numCache>
                <c:formatCode>#,##0</c:formatCode>
                <c:ptCount val="14"/>
                <c:pt idx="0">
                  <c:v>330609.81978099997</c:v>
                </c:pt>
                <c:pt idx="1">
                  <c:v>1163942.6239700001</c:v>
                </c:pt>
                <c:pt idx="2">
                  <c:v>276896.35201000003</c:v>
                </c:pt>
                <c:pt idx="3">
                  <c:v>418627.80072</c:v>
                </c:pt>
                <c:pt idx="4">
                  <c:v>364263.96554</c:v>
                </c:pt>
                <c:pt idx="5">
                  <c:v>1013802.9396470001</c:v>
                </c:pt>
                <c:pt idx="6">
                  <c:v>594413.29722999991</c:v>
                </c:pt>
                <c:pt idx="7">
                  <c:v>392298.99344500003</c:v>
                </c:pt>
                <c:pt idx="8">
                  <c:v>412904.74259000004</c:v>
                </c:pt>
                <c:pt idx="9">
                  <c:v>911344.23223143606</c:v>
                </c:pt>
                <c:pt idx="10">
                  <c:v>1242240.698793632</c:v>
                </c:pt>
                <c:pt idx="11">
                  <c:v>802581.84706599987</c:v>
                </c:pt>
                <c:pt idx="12">
                  <c:v>362329.56747000001</c:v>
                </c:pt>
                <c:pt idx="13">
                  <c:v>450126.75728999998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E-4CC5-9E50-618C204A2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063744"/>
        <c:axId val="172073728"/>
      </c:barChart>
      <c:catAx>
        <c:axId val="1720637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2073728"/>
        <c:crosses val="autoZero"/>
        <c:auto val="1"/>
        <c:lblAlgn val="ctr"/>
        <c:lblOffset val="100"/>
        <c:noMultiLvlLbl val="0"/>
      </c:catAx>
      <c:valAx>
        <c:axId val="17207372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0637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173409358312972"/>
          <c:y val="0.11005524565183827"/>
          <c:w val="0.63800947295381183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cat>
            <c:strRef>
              <c:f>'6.10'!$A$7:$A$20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'6.10'!$G$7:$G$20</c:f>
              <c:numCache>
                <c:formatCode>#\ ##0.0</c:formatCode>
                <c:ptCount val="14"/>
                <c:pt idx="0">
                  <c:v>0.5709677419354835</c:v>
                </c:pt>
                <c:pt idx="1">
                  <c:v>1.8903225806451611</c:v>
                </c:pt>
                <c:pt idx="2">
                  <c:v>0.47096774193548391</c:v>
                </c:pt>
                <c:pt idx="3">
                  <c:v>1.1096774193548384</c:v>
                </c:pt>
                <c:pt idx="4">
                  <c:v>1.5290322580645161</c:v>
                </c:pt>
                <c:pt idx="5">
                  <c:v>1.6096774193548393</c:v>
                </c:pt>
                <c:pt idx="6">
                  <c:v>1.4354838709677418</c:v>
                </c:pt>
                <c:pt idx="7">
                  <c:v>1.3548387096774193</c:v>
                </c:pt>
                <c:pt idx="8">
                  <c:v>0.93225806451612903</c:v>
                </c:pt>
                <c:pt idx="9">
                  <c:v>2.4516129032258065</c:v>
                </c:pt>
                <c:pt idx="10">
                  <c:v>1.5935483870967748</c:v>
                </c:pt>
                <c:pt idx="11">
                  <c:v>1.4548387096774196</c:v>
                </c:pt>
                <c:pt idx="12">
                  <c:v>0.60645161290322558</c:v>
                </c:pt>
                <c:pt idx="13">
                  <c:v>1.4677419354838706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E-462E-8233-50B07F49B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844160"/>
        <c:axId val="172845696"/>
      </c:barChart>
      <c:catAx>
        <c:axId val="17284416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2845696"/>
        <c:crosses val="autoZero"/>
        <c:auto val="1"/>
        <c:lblAlgn val="ctr"/>
        <c:lblOffset val="100"/>
        <c:noMultiLvlLbl val="0"/>
      </c:catAx>
      <c:valAx>
        <c:axId val="172845696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844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203704160804351"/>
          <c:y val="0.11005524565183827"/>
          <c:w val="0.5467811978048198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cat>
            <c:strRef>
              <c:f>'6.10'!$A$7:$A$20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'6.10'!$D$7:$D$20</c:f>
              <c:numCache>
                <c:formatCode>#,##0</c:formatCode>
                <c:ptCount val="14"/>
                <c:pt idx="0">
                  <c:v>356327.10387700005</c:v>
                </c:pt>
                <c:pt idx="1">
                  <c:v>1353569.6466699999</c:v>
                </c:pt>
                <c:pt idx="2">
                  <c:v>320711.97033000004</c:v>
                </c:pt>
                <c:pt idx="3">
                  <c:v>458091.75334999996</c:v>
                </c:pt>
                <c:pt idx="4">
                  <c:v>399333.78902000003</c:v>
                </c:pt>
                <c:pt idx="5">
                  <c:v>1101513.9673269999</c:v>
                </c:pt>
                <c:pt idx="6">
                  <c:v>661575.52674999996</c:v>
                </c:pt>
                <c:pt idx="7">
                  <c:v>435607.99500599998</c:v>
                </c:pt>
                <c:pt idx="8">
                  <c:v>447203.96104000002</c:v>
                </c:pt>
                <c:pt idx="9">
                  <c:v>1081233.6303202398</c:v>
                </c:pt>
                <c:pt idx="10">
                  <c:v>1348817.7390298222</c:v>
                </c:pt>
                <c:pt idx="11">
                  <c:v>1227535.5837960001</c:v>
                </c:pt>
                <c:pt idx="12">
                  <c:v>410366.84760900005</c:v>
                </c:pt>
                <c:pt idx="13">
                  <c:v>518472.34842000005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7-4977-85F1-65792FC6D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878080"/>
        <c:axId val="172883968"/>
      </c:barChart>
      <c:catAx>
        <c:axId val="17287808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2883968"/>
        <c:crosses val="autoZero"/>
        <c:auto val="1"/>
        <c:lblAlgn val="ctr"/>
        <c:lblOffset val="100"/>
        <c:noMultiLvlLbl val="0"/>
      </c:catAx>
      <c:valAx>
        <c:axId val="17288396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8780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556551120765077"/>
          <c:y val="0.11005524565183827"/>
          <c:w val="0.6341780553292907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cat>
            <c:strRef>
              <c:f>'6.11'!$A$7:$A$20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'6.11'!$G$7:$G$20</c:f>
              <c:numCache>
                <c:formatCode>#\ ##0.0</c:formatCode>
                <c:ptCount val="14"/>
                <c:pt idx="0">
                  <c:v>3.4475985663082436</c:v>
                </c:pt>
                <c:pt idx="1">
                  <c:v>4.9675268817204303</c:v>
                </c:pt>
                <c:pt idx="2">
                  <c:v>3.1909677419354829</c:v>
                </c:pt>
                <c:pt idx="3">
                  <c:v>3.8861648745519717</c:v>
                </c:pt>
                <c:pt idx="4">
                  <c:v>4.3216845878136203</c:v>
                </c:pt>
                <c:pt idx="5">
                  <c:v>4.2968100358422943</c:v>
                </c:pt>
                <c:pt idx="6">
                  <c:v>4.245304659498208</c:v>
                </c:pt>
                <c:pt idx="7">
                  <c:v>4.1976702508960573</c:v>
                </c:pt>
                <c:pt idx="8">
                  <c:v>3.8280645161290323</c:v>
                </c:pt>
                <c:pt idx="9">
                  <c:v>5.5496774193548388</c:v>
                </c:pt>
                <c:pt idx="10">
                  <c:v>4.5041218637992833</c:v>
                </c:pt>
                <c:pt idx="11">
                  <c:v>4.3519354838709683</c:v>
                </c:pt>
                <c:pt idx="12">
                  <c:v>3.4160931899641578</c:v>
                </c:pt>
                <c:pt idx="13">
                  <c:v>4.1146594982078843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52-4560-AB96-B0A89B337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3023616"/>
        <c:axId val="173025152"/>
      </c:barChart>
      <c:catAx>
        <c:axId val="17302361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3025152"/>
        <c:crosses val="autoZero"/>
        <c:auto val="1"/>
        <c:lblAlgn val="ctr"/>
        <c:lblOffset val="100"/>
        <c:noMultiLvlLbl val="0"/>
      </c:catAx>
      <c:valAx>
        <c:axId val="173025152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30236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039649824336218"/>
          <c:y val="0.11005524565183827"/>
          <c:w val="0.5384217411695011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cat>
            <c:strRef>
              <c:f>'6.11'!$A$7:$A$20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'6.11'!$D$7:$D$20</c:f>
              <c:numCache>
                <c:formatCode>#,##0</c:formatCode>
                <c:ptCount val="14"/>
                <c:pt idx="0">
                  <c:v>936445.88997199992</c:v>
                </c:pt>
                <c:pt idx="1">
                  <c:v>3354278.0405899999</c:v>
                </c:pt>
                <c:pt idx="2">
                  <c:v>857557.37934999994</c:v>
                </c:pt>
                <c:pt idx="3">
                  <c:v>1196679.4723</c:v>
                </c:pt>
                <c:pt idx="4">
                  <c:v>1021052.17833</c:v>
                </c:pt>
                <c:pt idx="5">
                  <c:v>2900344.6492340001</c:v>
                </c:pt>
                <c:pt idx="6">
                  <c:v>1694855.2023999998</c:v>
                </c:pt>
                <c:pt idx="7">
                  <c:v>1133505.1248089999</c:v>
                </c:pt>
                <c:pt idx="8">
                  <c:v>1168215.1844500001</c:v>
                </c:pt>
                <c:pt idx="9">
                  <c:v>2583402.9727147794</c:v>
                </c:pt>
                <c:pt idx="10">
                  <c:v>3565607.4414275037</c:v>
                </c:pt>
                <c:pt idx="11">
                  <c:v>2716989.1944750003</c:v>
                </c:pt>
                <c:pt idx="12">
                  <c:v>1042571.0878889998</c:v>
                </c:pt>
                <c:pt idx="13">
                  <c:v>1302320.1245900001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B-43BC-A034-258FBD2FA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3049344"/>
        <c:axId val="173050880"/>
      </c:barChart>
      <c:catAx>
        <c:axId val="1730493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3050880"/>
        <c:crosses val="autoZero"/>
        <c:auto val="1"/>
        <c:lblAlgn val="ctr"/>
        <c:lblOffset val="100"/>
        <c:noMultiLvlLbl val="0"/>
      </c:catAx>
      <c:valAx>
        <c:axId val="17305088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30493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390820939049287"/>
          <c:y val="0.27798478959689077"/>
          <c:w val="0.61308307391808592"/>
          <c:h val="0.657275168391248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0-70FC-43A5-9DF9-089D08C1FA91}"/>
              </c:ext>
            </c:extLst>
          </c:dPt>
          <c:dPt>
            <c:idx val="1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1-70FC-43A5-9DF9-089D08C1FA91}"/>
              </c:ext>
            </c:extLst>
          </c:dPt>
          <c:dPt>
            <c:idx val="2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2-70FC-43A5-9DF9-089D08C1FA91}"/>
              </c:ext>
            </c:extLst>
          </c:dPt>
          <c:dPt>
            <c:idx val="3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3-70FC-43A5-9DF9-089D08C1FA91}"/>
              </c:ext>
            </c:extLst>
          </c:dPt>
          <c:dPt>
            <c:idx val="4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4-70FC-43A5-9DF9-089D08C1FA91}"/>
              </c:ext>
            </c:extLst>
          </c:dPt>
          <c:dLbls>
            <c:dLbl>
              <c:idx val="0"/>
              <c:layout>
                <c:manualLayout>
                  <c:x val="-8.8139796478928542E-2"/>
                  <c:y val="-0.2535577118912101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FC-43A5-9DF9-089D08C1FA91}"/>
                </c:ext>
              </c:extLst>
            </c:dLbl>
            <c:dLbl>
              <c:idx val="1"/>
              <c:layout>
                <c:manualLayout>
                  <c:x val="0.1289835282217629"/>
                  <c:y val="-0.2599312629519803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FC-43A5-9DF9-089D08C1FA91}"/>
                </c:ext>
              </c:extLst>
            </c:dLbl>
            <c:dLbl>
              <c:idx val="2"/>
              <c:layout>
                <c:manualLayout>
                  <c:x val="0.2751346779327003"/>
                  <c:y val="-0.1976685005637177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FC-43A5-9DF9-089D08C1FA91}"/>
                </c:ext>
              </c:extLst>
            </c:dLbl>
            <c:dLbl>
              <c:idx val="3"/>
              <c:layout>
                <c:manualLayout>
                  <c:x val="-0.3318616943715369"/>
                  <c:y val="9.120641569874889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FC-43A5-9DF9-089D08C1FA91}"/>
                </c:ext>
              </c:extLst>
            </c:dLbl>
            <c:dLbl>
              <c:idx val="4"/>
              <c:layout>
                <c:manualLayout>
                  <c:x val="-0.28336341678220456"/>
                  <c:y val="-0.2107996257424775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FC-43A5-9DF9-089D08C1FA9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'4.2'!$B$27:$F$27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CNG</c:v>
                </c:pt>
              </c:strCache>
            </c:strRef>
          </c:cat>
          <c:val>
            <c:numRef>
              <c:f>'4.2'!$B$28:$F$28</c:f>
              <c:numCache>
                <c:formatCode>#,##0</c:formatCode>
                <c:ptCount val="5"/>
                <c:pt idx="0">
                  <c:v>1502</c:v>
                </c:pt>
                <c:pt idx="1">
                  <c:v>5614</c:v>
                </c:pt>
                <c:pt idx="2">
                  <c:v>201321</c:v>
                </c:pt>
                <c:pt idx="3">
                  <c:v>2511366</c:v>
                </c:pt>
                <c:pt idx="4">
                  <c:v>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FC-43A5-9DF9-089D08C1FA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45190722219767"/>
          <c:y val="3.7516674052107117E-2"/>
          <c:w val="0.65942831101096278"/>
          <c:h val="0.771241776596107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'4.2'!$I$27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'4.2'!$I$28:$I$31</c:f>
              <c:numCache>
                <c:formatCode>#\ ##0.0</c:formatCode>
                <c:ptCount val="4"/>
                <c:pt idx="0">
                  <c:v>1084.544006860106</c:v>
                </c:pt>
                <c:pt idx="1">
                  <c:v>725.74626436719291</c:v>
                </c:pt>
                <c:pt idx="2">
                  <c:v>618.39554879407603</c:v>
                </c:pt>
                <c:pt idx="3">
                  <c:v>945.18111560865782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2-4100-9F69-CC81FEE75CF4}"/>
            </c:ext>
          </c:extLst>
        </c:ser>
        <c:ser>
          <c:idx val="1"/>
          <c:order val="1"/>
          <c:tx>
            <c:strRef>
              <c:f>'4.2'!$J$27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'4.2'!$J$28:$J$31</c:f>
              <c:numCache>
                <c:formatCode>#\ ##0.0</c:formatCode>
                <c:ptCount val="4"/>
                <c:pt idx="0">
                  <c:v>269.69631079680198</c:v>
                </c:pt>
                <c:pt idx="1">
                  <c:v>101.02504191926101</c:v>
                </c:pt>
                <c:pt idx="2">
                  <c:v>72.21183584489799</c:v>
                </c:pt>
                <c:pt idx="3">
                  <c:v>231.25118866750398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42-4100-9F69-CC81FEE75CF4}"/>
            </c:ext>
          </c:extLst>
        </c:ser>
        <c:ser>
          <c:idx val="2"/>
          <c:order val="2"/>
          <c:tx>
            <c:strRef>
              <c:f>'4.2'!$K$27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'4.2'!$K$28:$K$31</c:f>
              <c:numCache>
                <c:formatCode>#\ ##0.0</c:formatCode>
                <c:ptCount val="4"/>
                <c:pt idx="0">
                  <c:v>475.99909442225191</c:v>
                </c:pt>
                <c:pt idx="1">
                  <c:v>125.289724150155</c:v>
                </c:pt>
                <c:pt idx="2">
                  <c:v>59.339693812828003</c:v>
                </c:pt>
                <c:pt idx="3">
                  <c:v>401.728251452525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42-4100-9F69-CC81FEE75CF4}"/>
            </c:ext>
          </c:extLst>
        </c:ser>
        <c:ser>
          <c:idx val="3"/>
          <c:order val="3"/>
          <c:tx>
            <c:strRef>
              <c:f>'4.2'!$L$27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'4.2'!$L$28:$L$31</c:f>
              <c:numCache>
                <c:formatCode>#\ ##0.0</c:formatCode>
                <c:ptCount val="4"/>
                <c:pt idx="0">
                  <c:v>849.42849342468298</c:v>
                </c:pt>
                <c:pt idx="1">
                  <c:v>230.41774044701401</c:v>
                </c:pt>
                <c:pt idx="2">
                  <c:v>109.664823169787</c:v>
                </c:pt>
                <c:pt idx="3">
                  <c:v>713.52896717630915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42-4100-9F69-CC81FEE75CF4}"/>
            </c:ext>
          </c:extLst>
        </c:ser>
        <c:ser>
          <c:idx val="4"/>
          <c:order val="4"/>
          <c:tx>
            <c:strRef>
              <c:f>'4.2'!$M$27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'4.2'!$M$28:$M$31</c:f>
              <c:numCache>
                <c:formatCode>#\ ##0.0</c:formatCode>
                <c:ptCount val="4"/>
                <c:pt idx="0">
                  <c:v>22.488188687992</c:v>
                </c:pt>
                <c:pt idx="1">
                  <c:v>22.440553902093999</c:v>
                </c:pt>
                <c:pt idx="2">
                  <c:v>22.271676797452002</c:v>
                </c:pt>
                <c:pt idx="3">
                  <c:v>22.631337213502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42-4100-9F69-CC81FEE75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434688"/>
        <c:axId val="164436224"/>
      </c:barChart>
      <c:catAx>
        <c:axId val="164434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4436224"/>
        <c:crosses val="autoZero"/>
        <c:auto val="1"/>
        <c:lblAlgn val="ctr"/>
        <c:lblOffset val="100"/>
        <c:noMultiLvlLbl val="0"/>
      </c:catAx>
      <c:valAx>
        <c:axId val="1644362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44346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7641202302644729E-2"/>
          <c:y val="0.91431116564974846"/>
          <c:w val="0.54397829038354595"/>
          <c:h val="8.225615331993074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10042956849044"/>
          <c:y val="5.4004377678468912E-2"/>
          <c:w val="0.63799208378695416"/>
          <c:h val="0.759631142240059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'4.2'!$P$27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'4.2'!$P$28:$P$31</c:f>
              <c:numCache>
                <c:formatCode>#,##0</c:formatCode>
                <c:ptCount val="4"/>
                <c:pt idx="0">
                  <c:v>11796.917328104002</c:v>
                </c:pt>
                <c:pt idx="1">
                  <c:v>7954.5144187609994</c:v>
                </c:pt>
                <c:pt idx="2">
                  <c:v>6815.1706336679999</c:v>
                </c:pt>
                <c:pt idx="3">
                  <c:v>10407.023034098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F0-40B6-A393-E9E5BEC020C3}"/>
            </c:ext>
          </c:extLst>
        </c:ser>
        <c:ser>
          <c:idx val="1"/>
          <c:order val="1"/>
          <c:tx>
            <c:strRef>
              <c:f>'4.2'!$Q$27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'4.2'!$Q$28:$Q$31</c:f>
              <c:numCache>
                <c:formatCode>#,##0</c:formatCode>
                <c:ptCount val="4"/>
                <c:pt idx="0">
                  <c:v>2933.73977182</c:v>
                </c:pt>
                <c:pt idx="1">
                  <c:v>1107.452567646</c:v>
                </c:pt>
                <c:pt idx="2">
                  <c:v>796.16890677499998</c:v>
                </c:pt>
                <c:pt idx="3">
                  <c:v>2546.5740637160002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F0-40B6-A393-E9E5BEC020C3}"/>
            </c:ext>
          </c:extLst>
        </c:ser>
        <c:ser>
          <c:idx val="2"/>
          <c:order val="2"/>
          <c:tx>
            <c:strRef>
              <c:f>'4.2'!$R$27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'4.2'!$R$28:$R$31</c:f>
              <c:numCache>
                <c:formatCode>#,##0</c:formatCode>
                <c:ptCount val="4"/>
                <c:pt idx="0">
                  <c:v>5176.7940260874402</c:v>
                </c:pt>
                <c:pt idx="1">
                  <c:v>1373.3357378222183</c:v>
                </c:pt>
                <c:pt idx="2">
                  <c:v>654.22452983032485</c:v>
                </c:pt>
                <c:pt idx="3">
                  <c:v>4422.5030704110159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F0-40B6-A393-E9E5BEC020C3}"/>
            </c:ext>
          </c:extLst>
        </c:ser>
        <c:ser>
          <c:idx val="3"/>
          <c:order val="3"/>
          <c:tx>
            <c:strRef>
              <c:f>'4.2'!$S$27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'4.2'!$S$28:$S$31</c:f>
              <c:numCache>
                <c:formatCode>#,##0</c:formatCode>
                <c:ptCount val="4"/>
                <c:pt idx="0">
                  <c:v>9235.9230908664886</c:v>
                </c:pt>
                <c:pt idx="1">
                  <c:v>2525.9334403297698</c:v>
                </c:pt>
                <c:pt idx="2">
                  <c:v>1209.320377169684</c:v>
                </c:pt>
                <c:pt idx="3">
                  <c:v>7854.183364015058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F0-40B6-A393-E9E5BEC020C3}"/>
            </c:ext>
          </c:extLst>
        </c:ser>
        <c:ser>
          <c:idx val="4"/>
          <c:order val="4"/>
          <c:tx>
            <c:strRef>
              <c:f>'4.2'!$T$27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'4.2'!$T$28:$T$31</c:f>
              <c:numCache>
                <c:formatCode>#,##0</c:formatCode>
                <c:ptCount val="4"/>
                <c:pt idx="0">
                  <c:v>244.56082436000003</c:v>
                </c:pt>
                <c:pt idx="1">
                  <c:v>245.90214924399999</c:v>
                </c:pt>
                <c:pt idx="2">
                  <c:v>245.37399445099999</c:v>
                </c:pt>
                <c:pt idx="3">
                  <c:v>249.25419962300003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F0-40B6-A393-E9E5BEC02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4486144"/>
        <c:axId val="165020416"/>
      </c:barChart>
      <c:catAx>
        <c:axId val="164486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5020416"/>
        <c:crosses val="autoZero"/>
        <c:auto val="1"/>
        <c:lblAlgn val="ctr"/>
        <c:lblOffset val="100"/>
        <c:noMultiLvlLbl val="0"/>
      </c:catAx>
      <c:valAx>
        <c:axId val="1650204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44861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6353287164405642E-3"/>
          <c:y val="0.92082355031032004"/>
          <c:w val="0.51630586449379434"/>
          <c:h val="7.91764143205569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D1D-4598-9BC4-D57E6B9EFFF2}"/>
              </c:ext>
            </c:extLst>
          </c:dPt>
          <c:dPt>
            <c:idx val="1"/>
            <c:invertIfNegative val="0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2-1D1D-4598-9BC4-D57E6B9EFFF2}"/>
              </c:ext>
            </c:extLst>
          </c:dPt>
          <c:dPt>
            <c:idx val="2"/>
            <c:invertIfNegative val="0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4-1D1D-4598-9BC4-D57E6B9EFF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'4.3'!$B$45:$B$47</c:f>
              <c:strCache>
                <c:ptCount val="3"/>
                <c:pt idx="0">
                  <c:v>Max</c:v>
                </c:pt>
                <c:pt idx="1">
                  <c:v>Min</c:v>
                </c:pt>
                <c:pt idx="2">
                  <c:v>Průměr</c:v>
                </c:pt>
              </c:strCache>
            </c:strRef>
          </c:cat>
          <c:val>
            <c:numRef>
              <c:f>'4.3'!$C$45:$C$47</c:f>
              <c:numCache>
                <c:formatCode>#,##0</c:formatCode>
                <c:ptCount val="3"/>
                <c:pt idx="0">
                  <c:v>23065.487034265407</c:v>
                </c:pt>
                <c:pt idx="1">
                  <c:v>14727.247675021759</c:v>
                </c:pt>
                <c:pt idx="2">
                  <c:v>19531.926383452257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1D-4598-9BC4-D57E6B9EF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5047680"/>
        <c:axId val="165057664"/>
      </c:barChart>
      <c:catAx>
        <c:axId val="1650476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5057664"/>
        <c:crosses val="autoZero"/>
        <c:auto val="1"/>
        <c:lblAlgn val="ctr"/>
        <c:lblOffset val="100"/>
        <c:noMultiLvlLbl val="0"/>
      </c:catAx>
      <c:valAx>
        <c:axId val="1650576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0476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447-48DA-85A8-0139621EAEAC}"/>
              </c:ext>
            </c:extLst>
          </c:dPt>
          <c:dPt>
            <c:idx val="1"/>
            <c:invertIfNegative val="0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2-C447-48DA-85A8-0139621EAEAC}"/>
              </c:ext>
            </c:extLst>
          </c:dPt>
          <c:dPt>
            <c:idx val="2"/>
            <c:invertIfNegative val="0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4-C447-48DA-85A8-0139621EAE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'4.3'!$E$45:$E$47</c:f>
              <c:strCache>
                <c:ptCount val="3"/>
                <c:pt idx="0">
                  <c:v>Max</c:v>
                </c:pt>
                <c:pt idx="1">
                  <c:v>Min</c:v>
                </c:pt>
                <c:pt idx="2">
                  <c:v>Průměr</c:v>
                </c:pt>
              </c:strCache>
            </c:strRef>
          </c:cat>
          <c:val>
            <c:numRef>
              <c:f>'4.3'!$F$45:$F$47</c:f>
              <c:numCache>
                <c:formatCode>#,##0</c:formatCode>
                <c:ptCount val="3"/>
                <c:pt idx="0">
                  <c:v>34985.083111465043</c:v>
                </c:pt>
                <c:pt idx="1">
                  <c:v>17543.933057475606</c:v>
                </c:pt>
                <c:pt idx="2">
                  <c:v>26869.022891279095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47-48DA-85A8-0139621EA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5088256"/>
        <c:axId val="165090048"/>
      </c:barChart>
      <c:catAx>
        <c:axId val="165088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5090048"/>
        <c:crosses val="autoZero"/>
        <c:auto val="1"/>
        <c:lblAlgn val="ctr"/>
        <c:lblOffset val="100"/>
        <c:noMultiLvlLbl val="0"/>
      </c:catAx>
      <c:valAx>
        <c:axId val="165090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0882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image" Target="../media/image11.png"/><Relationship Id="rId4" Type="http://schemas.openxmlformats.org/officeDocument/2006/relationships/chart" Target="../charts/chart2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5" Type="http://schemas.openxmlformats.org/officeDocument/2006/relationships/image" Target="../media/image11.png"/><Relationship Id="rId4" Type="http://schemas.openxmlformats.org/officeDocument/2006/relationships/chart" Target="../charts/chart28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5" Type="http://schemas.openxmlformats.org/officeDocument/2006/relationships/image" Target="../media/image11.png"/><Relationship Id="rId4" Type="http://schemas.openxmlformats.org/officeDocument/2006/relationships/chart" Target="../charts/chart3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5" Type="http://schemas.openxmlformats.org/officeDocument/2006/relationships/image" Target="../media/image11.png"/><Relationship Id="rId4" Type="http://schemas.openxmlformats.org/officeDocument/2006/relationships/chart" Target="../charts/chart36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chart" Target="../charts/chart37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43.xml"/><Relationship Id="rId1" Type="http://schemas.openxmlformats.org/officeDocument/2006/relationships/chart" Target="../charts/chart42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1800000</xdr:colOff>
      <xdr:row>0</xdr:row>
      <xdr:rowOff>597114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F1AA8B5-5249-445C-8B4E-732F90127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00000" cy="5971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4977583</xdr:rowOff>
    </xdr:from>
    <xdr:to>
      <xdr:col>2</xdr:col>
      <xdr:colOff>985</xdr:colOff>
      <xdr:row>1</xdr:row>
      <xdr:rowOff>4633682</xdr:rowOff>
    </xdr:to>
    <xdr:pic>
      <xdr:nvPicPr>
        <xdr:cNvPr id="3" name="Grafický objekt 14">
          <a:extLst>
            <a:ext uri="{FF2B5EF4-FFF2-40B4-BE49-F238E27FC236}">
              <a16:creationId xmlns:a16="http://schemas.microsoft.com/office/drawing/2014/main" id="{5A5B4A11-A448-40A2-8020-A1DA7E185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4977583"/>
          <a:ext cx="6430360" cy="4736099"/>
        </a:xfrm>
        <a:prstGeom prst="rect">
          <a:avLst/>
        </a:prstGeom>
      </xdr:spPr>
    </xdr:pic>
    <xdr:clientData/>
  </xdr:twoCellAnchor>
  <xdr:twoCellAnchor editAs="oneCell">
    <xdr:from>
      <xdr:col>1</xdr:col>
      <xdr:colOff>1569938</xdr:colOff>
      <xdr:row>1</xdr:row>
      <xdr:rowOff>3582605</xdr:rowOff>
    </xdr:from>
    <xdr:to>
      <xdr:col>2</xdr:col>
      <xdr:colOff>47128</xdr:colOff>
      <xdr:row>2</xdr:row>
      <xdr:rowOff>46623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858758D7-D9AE-4D28-8E13-F184DBD0F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5063" y="8662605"/>
          <a:ext cx="2001440" cy="129001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37</xdr:row>
      <xdr:rowOff>47625</xdr:rowOff>
    </xdr:from>
    <xdr:to>
      <xdr:col>6</xdr:col>
      <xdr:colOff>295275</xdr:colOff>
      <xdr:row>52</xdr:row>
      <xdr:rowOff>120650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37</xdr:row>
      <xdr:rowOff>66675</xdr:rowOff>
    </xdr:from>
    <xdr:to>
      <xdr:col>10</xdr:col>
      <xdr:colOff>228600</xdr:colOff>
      <xdr:row>52</xdr:row>
      <xdr:rowOff>165100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323850</xdr:colOff>
      <xdr:row>2</xdr:row>
      <xdr:rowOff>123825</xdr:rowOff>
    </xdr:from>
    <xdr:to>
      <xdr:col>2</xdr:col>
      <xdr:colOff>294586</xdr:colOff>
      <xdr:row>3</xdr:row>
      <xdr:rowOff>561975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E9B2BDA4-8585-4555-B95B-A95B4D89C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3850" y="428625"/>
          <a:ext cx="856561" cy="6286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37</xdr:row>
      <xdr:rowOff>47625</xdr:rowOff>
    </xdr:from>
    <xdr:to>
      <xdr:col>6</xdr:col>
      <xdr:colOff>295275</xdr:colOff>
      <xdr:row>50</xdr:row>
      <xdr:rowOff>146050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37</xdr:row>
      <xdr:rowOff>66675</xdr:rowOff>
    </xdr:from>
    <xdr:to>
      <xdr:col>10</xdr:col>
      <xdr:colOff>228600</xdr:colOff>
      <xdr:row>50</xdr:row>
      <xdr:rowOff>152400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304800</xdr:colOff>
      <xdr:row>2</xdr:row>
      <xdr:rowOff>123825</xdr:rowOff>
    </xdr:from>
    <xdr:to>
      <xdr:col>2</xdr:col>
      <xdr:colOff>304800</xdr:colOff>
      <xdr:row>3</xdr:row>
      <xdr:rowOff>583568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BFF69A7B-4C4B-40B4-A090-21957D007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4800" y="428625"/>
          <a:ext cx="885825" cy="65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9526</xdr:rowOff>
    </xdr:from>
    <xdr:to>
      <xdr:col>5</xdr:col>
      <xdr:colOff>114300</xdr:colOff>
      <xdr:row>29</xdr:row>
      <xdr:rowOff>28576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17</xdr:row>
      <xdr:rowOff>28575</xdr:rowOff>
    </xdr:from>
    <xdr:to>
      <xdr:col>10</xdr:col>
      <xdr:colOff>419100</xdr:colOff>
      <xdr:row>29</xdr:row>
      <xdr:rowOff>38100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34</xdr:row>
      <xdr:rowOff>85725</xdr:rowOff>
    </xdr:from>
    <xdr:to>
      <xdr:col>10</xdr:col>
      <xdr:colOff>371474</xdr:colOff>
      <xdr:row>46</xdr:row>
      <xdr:rowOff>161923</xdr:rowOff>
    </xdr:to>
    <xdr:graphicFrame macro="">
      <xdr:nvGraphicFramePr>
        <xdr:cNvPr id="14" name="Graf 13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228600</xdr:colOff>
      <xdr:row>48</xdr:row>
      <xdr:rowOff>142875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5029201" y="9496426"/>
          <a:ext cx="628649" cy="190499"/>
        </a:xfrm>
        <a:prstGeom prst="rect">
          <a:avLst/>
        </a:prstGeom>
        <a:solidFill>
          <a:srgbClr val="233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15" name="Obdélník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rgbClr val="C7CCD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Minimum</a:t>
          </a:r>
        </a:p>
      </xdr:txBody>
    </xdr:sp>
    <xdr:clientData/>
  </xdr:twoCellAnchor>
  <xdr:twoCellAnchor>
    <xdr:from>
      <xdr:col>0</xdr:col>
      <xdr:colOff>142875</xdr:colOff>
      <xdr:row>34</xdr:row>
      <xdr:rowOff>38100</xdr:rowOff>
    </xdr:from>
    <xdr:to>
      <xdr:col>4</xdr:col>
      <xdr:colOff>57152</xdr:colOff>
      <xdr:row>48</xdr:row>
      <xdr:rowOff>152399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13C6EE1F-F5AD-439E-A9F4-0D56D81FE8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38100</xdr:colOff>
      <xdr:row>3</xdr:row>
      <xdr:rowOff>38100</xdr:rowOff>
    </xdr:from>
    <xdr:to>
      <xdr:col>0</xdr:col>
      <xdr:colOff>955524</xdr:colOff>
      <xdr:row>4</xdr:row>
      <xdr:rowOff>266700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861522BB-9151-4AC6-815E-453AC84D1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81025"/>
          <a:ext cx="917424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9526</xdr:rowOff>
    </xdr:from>
    <xdr:to>
      <xdr:col>5</xdr:col>
      <xdr:colOff>114300</xdr:colOff>
      <xdr:row>29</xdr:row>
      <xdr:rowOff>28576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17</xdr:row>
      <xdr:rowOff>19050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34</xdr:row>
      <xdr:rowOff>85725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247650</xdr:colOff>
      <xdr:row>48</xdr:row>
      <xdr:rowOff>142875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5029201" y="9496426"/>
          <a:ext cx="647699" cy="190499"/>
        </a:xfrm>
        <a:prstGeom prst="rect">
          <a:avLst/>
        </a:prstGeom>
        <a:solidFill>
          <a:srgbClr val="233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rgbClr val="C7CCD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Minimum</a:t>
          </a:r>
        </a:p>
      </xdr:txBody>
    </xdr:sp>
    <xdr:clientData/>
  </xdr:twoCellAnchor>
  <xdr:twoCellAnchor>
    <xdr:from>
      <xdr:col>0</xdr:col>
      <xdr:colOff>247650</xdr:colOff>
      <xdr:row>34</xdr:row>
      <xdr:rowOff>57150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54E4C39C-1419-4BF3-9A5D-2F95D46983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38100</xdr:colOff>
      <xdr:row>3</xdr:row>
      <xdr:rowOff>38100</xdr:rowOff>
    </xdr:from>
    <xdr:to>
      <xdr:col>0</xdr:col>
      <xdr:colOff>955524</xdr:colOff>
      <xdr:row>5</xdr:row>
      <xdr:rowOff>0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2FB9605B-7594-4E55-A153-435C1B672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81025"/>
          <a:ext cx="917424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9526</xdr:rowOff>
    </xdr:from>
    <xdr:to>
      <xdr:col>5</xdr:col>
      <xdr:colOff>114300</xdr:colOff>
      <xdr:row>29</xdr:row>
      <xdr:rowOff>28576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17</xdr:row>
      <xdr:rowOff>19050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34</xdr:row>
      <xdr:rowOff>66675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257175</xdr:colOff>
      <xdr:row>48</xdr:row>
      <xdr:rowOff>133350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>
        <a:xfrm>
          <a:off x="5029201" y="9496426"/>
          <a:ext cx="657224" cy="180974"/>
        </a:xfrm>
        <a:prstGeom prst="rect">
          <a:avLst/>
        </a:prstGeom>
        <a:solidFill>
          <a:srgbClr val="233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rgbClr val="C7CCD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Minimum</a:t>
          </a:r>
        </a:p>
      </xdr:txBody>
    </xdr:sp>
    <xdr:clientData/>
  </xdr:twoCellAnchor>
  <xdr:twoCellAnchor>
    <xdr:from>
      <xdr:col>0</xdr:col>
      <xdr:colOff>247650</xdr:colOff>
      <xdr:row>34</xdr:row>
      <xdr:rowOff>47625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A187F95E-7825-4088-BE83-BA9904BB0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38100</xdr:colOff>
      <xdr:row>3</xdr:row>
      <xdr:rowOff>38100</xdr:rowOff>
    </xdr:from>
    <xdr:to>
      <xdr:col>0</xdr:col>
      <xdr:colOff>955524</xdr:colOff>
      <xdr:row>5</xdr:row>
      <xdr:rowOff>0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EF9BC3F8-C1D6-4B8C-ADD8-A361E16D0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81025"/>
          <a:ext cx="917424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0</xdr:rowOff>
    </xdr:from>
    <xdr:to>
      <xdr:col>5</xdr:col>
      <xdr:colOff>114300</xdr:colOff>
      <xdr:row>29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17</xdr:row>
      <xdr:rowOff>38100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34</xdr:row>
      <xdr:rowOff>66675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276225</xdr:colOff>
      <xdr:row>48</xdr:row>
      <xdr:rowOff>133350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5029201" y="9496426"/>
          <a:ext cx="676274" cy="180974"/>
        </a:xfrm>
        <a:prstGeom prst="rect">
          <a:avLst/>
        </a:prstGeom>
        <a:solidFill>
          <a:srgbClr val="233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rgbClr val="C7CCD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Minimum</a:t>
          </a:r>
        </a:p>
      </xdr:txBody>
    </xdr:sp>
    <xdr:clientData/>
  </xdr:twoCellAnchor>
  <xdr:twoCellAnchor>
    <xdr:from>
      <xdr:col>0</xdr:col>
      <xdr:colOff>247650</xdr:colOff>
      <xdr:row>34</xdr:row>
      <xdr:rowOff>38100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E2988C38-2859-4FF3-BE55-8F0FFC0565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38100</xdr:colOff>
      <xdr:row>3</xdr:row>
      <xdr:rowOff>38100</xdr:rowOff>
    </xdr:from>
    <xdr:to>
      <xdr:col>0</xdr:col>
      <xdr:colOff>955524</xdr:colOff>
      <xdr:row>4</xdr:row>
      <xdr:rowOff>266700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7B71FD72-FE0B-41A4-B80F-24DBEE0F0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81025"/>
          <a:ext cx="917424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25</xdr:row>
      <xdr:rowOff>142875</xdr:rowOff>
    </xdr:from>
    <xdr:to>
      <xdr:col>10</xdr:col>
      <xdr:colOff>514350</xdr:colOff>
      <xdr:row>51</xdr:row>
      <xdr:rowOff>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</xdr:colOff>
      <xdr:row>3</xdr:row>
      <xdr:rowOff>457200</xdr:rowOff>
    </xdr:from>
    <xdr:to>
      <xdr:col>0</xdr:col>
      <xdr:colOff>621141</xdr:colOff>
      <xdr:row>3</xdr:row>
      <xdr:rowOff>819150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665A67E7-25ED-4296-A573-D4C3533EC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009650"/>
          <a:ext cx="611616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6DD8DFCA-E82F-41D8-A381-19E5A72BA2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D07F0B3E-169F-4537-9F96-F049448E9B4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35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806C6586-9FAF-4817-8031-B05116C8F85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673EDCB-75E3-4F3B-BB02-5BA3B0C555A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E20B09FD-1449-4C7A-B229-FE5161C0E3B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EEE987EE-9B6D-4116-94DD-D57C37C43C7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3</xdr:row>
      <xdr:rowOff>0</xdr:rowOff>
    </xdr:from>
    <xdr:to>
      <xdr:col>2</xdr:col>
      <xdr:colOff>562645</xdr:colOff>
      <xdr:row>4</xdr:row>
      <xdr:rowOff>224567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A8F6B51-CF59-4EAA-97E8-5C6B34695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0" y="561975"/>
          <a:ext cx="629320" cy="472217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B2F6A0A5-6A79-40E3-8C88-7D3D2D3B3AF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954878A7-DCE0-436D-8028-DA1754B454D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31EF213-6A00-47A5-B2D1-727FB9F5528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21ADB51C-49D1-44A8-B337-9B8FC24F5EF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11E01AE-7DD8-4700-8982-312544949A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CE5F0081-9F62-4837-A907-02B4B807B19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4F0F9BD-7560-4F1F-8688-41811DE6FAF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23617210-72F0-49B8-9D80-B4BC7EF57C9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200026</xdr:colOff>
      <xdr:row>30</xdr:row>
      <xdr:rowOff>19050</xdr:rowOff>
    </xdr:from>
    <xdr:to>
      <xdr:col>4</xdr:col>
      <xdr:colOff>85726</xdr:colOff>
      <xdr:row>48</xdr:row>
      <xdr:rowOff>85725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id="{00000000-0008-0000-1D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38101</xdr:colOff>
      <xdr:row>30</xdr:row>
      <xdr:rowOff>38101</xdr:rowOff>
    </xdr:from>
    <xdr:to>
      <xdr:col>10</xdr:col>
      <xdr:colOff>419101</xdr:colOff>
      <xdr:row>48</xdr:row>
      <xdr:rowOff>114300</xdr:rowOff>
    </xdr:to>
    <xdr:graphicFrame macro="">
      <xdr:nvGraphicFramePr>
        <xdr:cNvPr id="17" name="Graf 16">
          <a:extLst>
            <a:ext uri="{FF2B5EF4-FFF2-40B4-BE49-F238E27FC236}">
              <a16:creationId xmlns:a16="http://schemas.microsoft.com/office/drawing/2014/main" id="{00000000-0008-0000-1D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142875</xdr:colOff>
      <xdr:row>5</xdr:row>
      <xdr:rowOff>25650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5DDB014C-3084-4834-A9A1-0C3CADB08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52450"/>
          <a:ext cx="1228725" cy="90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30</xdr:row>
      <xdr:rowOff>38101</xdr:rowOff>
    </xdr:from>
    <xdr:to>
      <xdr:col>10</xdr:col>
      <xdr:colOff>419101</xdr:colOff>
      <xdr:row>48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30</xdr:row>
      <xdr:rowOff>19050</xdr:rowOff>
    </xdr:from>
    <xdr:to>
      <xdr:col>4</xdr:col>
      <xdr:colOff>85725</xdr:colOff>
      <xdr:row>48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50D95D72-9193-40CE-A27E-88CA7D68B9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142875</xdr:colOff>
      <xdr:row>5</xdr:row>
      <xdr:rowOff>25650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EE346721-374F-4FC6-81DE-B331FE4FD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23875"/>
          <a:ext cx="1228725" cy="90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30</xdr:row>
      <xdr:rowOff>38101</xdr:rowOff>
    </xdr:from>
    <xdr:to>
      <xdr:col>10</xdr:col>
      <xdr:colOff>419101</xdr:colOff>
      <xdr:row>48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30</xdr:row>
      <xdr:rowOff>19050</xdr:rowOff>
    </xdr:from>
    <xdr:to>
      <xdr:col>4</xdr:col>
      <xdr:colOff>85725</xdr:colOff>
      <xdr:row>48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1318DEB4-BB07-4915-9CCF-C35453CEF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142875</xdr:colOff>
      <xdr:row>5</xdr:row>
      <xdr:rowOff>25650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1EAEC643-C980-4362-944D-F20F51F41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23875"/>
          <a:ext cx="1228725" cy="90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30</xdr:row>
      <xdr:rowOff>38101</xdr:rowOff>
    </xdr:from>
    <xdr:to>
      <xdr:col>10</xdr:col>
      <xdr:colOff>419101</xdr:colOff>
      <xdr:row>48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30</xdr:row>
      <xdr:rowOff>19050</xdr:rowOff>
    </xdr:from>
    <xdr:to>
      <xdr:col>4</xdr:col>
      <xdr:colOff>85725</xdr:colOff>
      <xdr:row>48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76C8692C-6ED2-4CD1-A42C-020C69B7F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142875</xdr:colOff>
      <xdr:row>5</xdr:row>
      <xdr:rowOff>25650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D4A0FEE-D3B4-4739-A6DF-7E809BD4C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23875"/>
          <a:ext cx="1228725" cy="90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19049</xdr:rowOff>
    </xdr:from>
    <xdr:to>
      <xdr:col>1</xdr:col>
      <xdr:colOff>189265</xdr:colOff>
      <xdr:row>3</xdr:row>
      <xdr:rowOff>549524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F847E974-281E-441B-9F27-C60104D00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761999"/>
          <a:ext cx="722665" cy="53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29</xdr:row>
      <xdr:rowOff>19049</xdr:rowOff>
    </xdr:from>
    <xdr:ext cx="722665" cy="530475"/>
    <xdr:pic>
      <xdr:nvPicPr>
        <xdr:cNvPr id="6" name="Obrázek 5">
          <a:extLst>
            <a:ext uri="{FF2B5EF4-FFF2-40B4-BE49-F238E27FC236}">
              <a16:creationId xmlns:a16="http://schemas.microsoft.com/office/drawing/2014/main" id="{B6158311-4EF9-4A85-B6CF-CE21169F0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761999"/>
          <a:ext cx="722665" cy="53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114300</xdr:rowOff>
    </xdr:from>
    <xdr:to>
      <xdr:col>20</xdr:col>
      <xdr:colOff>220899</xdr:colOff>
      <xdr:row>39</xdr:row>
      <xdr:rowOff>142875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84B5CB82-4300-4BB6-A464-FCF52450A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475"/>
          <a:ext cx="6516924" cy="6448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</xdr:colOff>
      <xdr:row>26</xdr:row>
      <xdr:rowOff>26670</xdr:rowOff>
    </xdr:from>
    <xdr:to>
      <xdr:col>9</xdr:col>
      <xdr:colOff>26671</xdr:colOff>
      <xdr:row>46</xdr:row>
      <xdr:rowOff>123825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462915</xdr:colOff>
      <xdr:row>26</xdr:row>
      <xdr:rowOff>22859</xdr:rowOff>
    </xdr:from>
    <xdr:to>
      <xdr:col>18</xdr:col>
      <xdr:colOff>472441</xdr:colOff>
      <xdr:row>46</xdr:row>
      <xdr:rowOff>114300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51</xdr:row>
      <xdr:rowOff>123825</xdr:rowOff>
    </xdr:from>
    <xdr:to>
      <xdr:col>5</xdr:col>
      <xdr:colOff>268210</xdr:colOff>
      <xdr:row>57</xdr:row>
      <xdr:rowOff>152399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F979DC28-618F-489C-8272-5CFAC0F61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448675"/>
          <a:ext cx="3420985" cy="1000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27</xdr:row>
      <xdr:rowOff>17463</xdr:rowOff>
    </xdr:from>
    <xdr:to>
      <xdr:col>8</xdr:col>
      <xdr:colOff>457201</xdr:colOff>
      <xdr:row>44</xdr:row>
      <xdr:rowOff>88900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</xdr:colOff>
      <xdr:row>27</xdr:row>
      <xdr:rowOff>17462</xdr:rowOff>
    </xdr:from>
    <xdr:to>
      <xdr:col>19</xdr:col>
      <xdr:colOff>380999</xdr:colOff>
      <xdr:row>44</xdr:row>
      <xdr:rowOff>107950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26</xdr:row>
      <xdr:rowOff>9525</xdr:rowOff>
    </xdr:from>
    <xdr:to>
      <xdr:col>6</xdr:col>
      <xdr:colOff>266700</xdr:colOff>
      <xdr:row>40</xdr:row>
      <xdr:rowOff>107950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485775</xdr:colOff>
      <xdr:row>26</xdr:row>
      <xdr:rowOff>47625</xdr:rowOff>
    </xdr:from>
    <xdr:to>
      <xdr:col>13</xdr:col>
      <xdr:colOff>285751</xdr:colOff>
      <xdr:row>40</xdr:row>
      <xdr:rowOff>114300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152400</xdr:colOff>
      <xdr:row>26</xdr:row>
      <xdr:rowOff>19049</xdr:rowOff>
    </xdr:from>
    <xdr:to>
      <xdr:col>20</xdr:col>
      <xdr:colOff>476250</xdr:colOff>
      <xdr:row>40</xdr:row>
      <xdr:rowOff>88900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42</xdr:row>
      <xdr:rowOff>47625</xdr:rowOff>
    </xdr:from>
    <xdr:to>
      <xdr:col>3</xdr:col>
      <xdr:colOff>523874</xdr:colOff>
      <xdr:row>51</xdr:row>
      <xdr:rowOff>66675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66675</xdr:colOff>
      <xdr:row>42</xdr:row>
      <xdr:rowOff>38100</xdr:rowOff>
    </xdr:from>
    <xdr:to>
      <xdr:col>6</xdr:col>
      <xdr:colOff>495300</xdr:colOff>
      <xdr:row>51</xdr:row>
      <xdr:rowOff>66675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57150</xdr:colOff>
      <xdr:row>42</xdr:row>
      <xdr:rowOff>38099</xdr:rowOff>
    </xdr:from>
    <xdr:to>
      <xdr:col>9</xdr:col>
      <xdr:colOff>485775</xdr:colOff>
      <xdr:row>51</xdr:row>
      <xdr:rowOff>66674</xdr:rowOff>
    </xdr:to>
    <xdr:graphicFrame macro="">
      <xdr:nvGraphicFramePr>
        <xdr:cNvPr id="17" name="Graf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</xdr:row>
      <xdr:rowOff>57150</xdr:rowOff>
    </xdr:from>
    <xdr:to>
      <xdr:col>6</xdr:col>
      <xdr:colOff>295275</xdr:colOff>
      <xdr:row>52</xdr:row>
      <xdr:rowOff>146050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38</xdr:row>
      <xdr:rowOff>47626</xdr:rowOff>
    </xdr:from>
    <xdr:to>
      <xdr:col>10</xdr:col>
      <xdr:colOff>228600</xdr:colOff>
      <xdr:row>52</xdr:row>
      <xdr:rowOff>152400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333375</xdr:colOff>
      <xdr:row>3</xdr:row>
      <xdr:rowOff>161925</xdr:rowOff>
    </xdr:from>
    <xdr:to>
      <xdr:col>2</xdr:col>
      <xdr:colOff>303862</xdr:colOff>
      <xdr:row>4</xdr:row>
      <xdr:rowOff>600075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1CA5F219-B358-4BE5-89F0-6C82426C5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3375" y="723900"/>
          <a:ext cx="856312" cy="6286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28576</xdr:rowOff>
    </xdr:from>
    <xdr:to>
      <xdr:col>6</xdr:col>
      <xdr:colOff>247650</xdr:colOff>
      <xdr:row>52</xdr:row>
      <xdr:rowOff>158750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85726</xdr:colOff>
      <xdr:row>37</xdr:row>
      <xdr:rowOff>57151</xdr:rowOff>
    </xdr:from>
    <xdr:to>
      <xdr:col>10</xdr:col>
      <xdr:colOff>19050</xdr:colOff>
      <xdr:row>52</xdr:row>
      <xdr:rowOff>152400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239378</xdr:colOff>
      <xdr:row>4</xdr:row>
      <xdr:rowOff>202531</xdr:rowOff>
    </xdr:from>
    <xdr:to>
      <xdr:col>2</xdr:col>
      <xdr:colOff>53640</xdr:colOff>
      <xdr:row>4</xdr:row>
      <xdr:rowOff>254167</xdr:rowOff>
    </xdr:to>
    <xdr:sp macro="" textlink="">
      <xdr:nvSpPr>
        <xdr:cNvPr id="12" name="Volný tvar: obrazec 11">
          <a:extLst>
            <a:ext uri="{FF2B5EF4-FFF2-40B4-BE49-F238E27FC236}">
              <a16:creationId xmlns:a16="http://schemas.microsoft.com/office/drawing/2014/main" id="{DB01A8B9-E390-4F63-A3F6-B16E7BA119F9}"/>
            </a:ext>
          </a:extLst>
        </xdr:cNvPr>
        <xdr:cNvSpPr/>
      </xdr:nvSpPr>
      <xdr:spPr>
        <a:xfrm>
          <a:off x="868028" y="955006"/>
          <a:ext cx="71437" cy="51636"/>
        </a:xfrm>
        <a:custGeom>
          <a:avLst/>
          <a:gdLst>
            <a:gd name="connsiteX0" fmla="*/ 0 w 3305175"/>
            <a:gd name="connsiteY0" fmla="*/ 771525 h 2552700"/>
            <a:gd name="connsiteX1" fmla="*/ 514350 w 3305175"/>
            <a:gd name="connsiteY1" fmla="*/ 514350 h 2552700"/>
            <a:gd name="connsiteX2" fmla="*/ 647700 w 3305175"/>
            <a:gd name="connsiteY2" fmla="*/ 647700 h 2552700"/>
            <a:gd name="connsiteX3" fmla="*/ 904875 w 3305175"/>
            <a:gd name="connsiteY3" fmla="*/ 628650 h 2552700"/>
            <a:gd name="connsiteX4" fmla="*/ 933450 w 3305175"/>
            <a:gd name="connsiteY4" fmla="*/ 342900 h 2552700"/>
            <a:gd name="connsiteX5" fmla="*/ 1066800 w 3305175"/>
            <a:gd name="connsiteY5" fmla="*/ 314325 h 2552700"/>
            <a:gd name="connsiteX6" fmla="*/ 1123950 w 3305175"/>
            <a:gd name="connsiteY6" fmla="*/ 381000 h 2552700"/>
            <a:gd name="connsiteX7" fmla="*/ 1781175 w 3305175"/>
            <a:gd name="connsiteY7" fmla="*/ 28575 h 2552700"/>
            <a:gd name="connsiteX8" fmla="*/ 2085975 w 3305175"/>
            <a:gd name="connsiteY8" fmla="*/ 0 h 2552700"/>
            <a:gd name="connsiteX9" fmla="*/ 2447925 w 3305175"/>
            <a:gd name="connsiteY9" fmla="*/ 285750 h 2552700"/>
            <a:gd name="connsiteX10" fmla="*/ 2600325 w 3305175"/>
            <a:gd name="connsiteY10" fmla="*/ 533400 h 2552700"/>
            <a:gd name="connsiteX11" fmla="*/ 2933700 w 3305175"/>
            <a:gd name="connsiteY11" fmla="*/ 581025 h 2552700"/>
            <a:gd name="connsiteX12" fmla="*/ 3305175 w 3305175"/>
            <a:gd name="connsiteY12" fmla="*/ 1038225 h 2552700"/>
            <a:gd name="connsiteX13" fmla="*/ 2867025 w 3305175"/>
            <a:gd name="connsiteY13" fmla="*/ 1295400 h 2552700"/>
            <a:gd name="connsiteX14" fmla="*/ 3067050 w 3305175"/>
            <a:gd name="connsiteY14" fmla="*/ 1752600 h 2552700"/>
            <a:gd name="connsiteX15" fmla="*/ 2847975 w 3305175"/>
            <a:gd name="connsiteY15" fmla="*/ 1981200 h 2552700"/>
            <a:gd name="connsiteX16" fmla="*/ 2371725 w 3305175"/>
            <a:gd name="connsiteY16" fmla="*/ 1781175 h 2552700"/>
            <a:gd name="connsiteX17" fmla="*/ 1400175 w 3305175"/>
            <a:gd name="connsiteY17" fmla="*/ 2295525 h 2552700"/>
            <a:gd name="connsiteX18" fmla="*/ 1143000 w 3305175"/>
            <a:gd name="connsiteY18" fmla="*/ 2228850 h 2552700"/>
            <a:gd name="connsiteX19" fmla="*/ 1143000 w 3305175"/>
            <a:gd name="connsiteY19" fmla="*/ 2552700 h 2552700"/>
            <a:gd name="connsiteX20" fmla="*/ 676275 w 3305175"/>
            <a:gd name="connsiteY20" fmla="*/ 2447925 h 2552700"/>
            <a:gd name="connsiteX21" fmla="*/ 571500 w 3305175"/>
            <a:gd name="connsiteY21" fmla="*/ 1771650 h 2552700"/>
            <a:gd name="connsiteX22" fmla="*/ 104775 w 3305175"/>
            <a:gd name="connsiteY22" fmla="*/ 1333500 h 2552700"/>
            <a:gd name="connsiteX23" fmla="*/ 381000 w 3305175"/>
            <a:gd name="connsiteY23" fmla="*/ 1066800 h 2552700"/>
            <a:gd name="connsiteX24" fmla="*/ 0 w 3305175"/>
            <a:gd name="connsiteY24" fmla="*/ 771525 h 25527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3305175" h="2552700">
              <a:moveTo>
                <a:pt x="0" y="771525"/>
              </a:moveTo>
              <a:lnTo>
                <a:pt x="514350" y="514350"/>
              </a:lnTo>
              <a:lnTo>
                <a:pt x="647700" y="647700"/>
              </a:lnTo>
              <a:lnTo>
                <a:pt x="904875" y="628650"/>
              </a:lnTo>
              <a:lnTo>
                <a:pt x="933450" y="342900"/>
              </a:lnTo>
              <a:lnTo>
                <a:pt x="1066800" y="314325"/>
              </a:lnTo>
              <a:lnTo>
                <a:pt x="1123950" y="381000"/>
              </a:lnTo>
              <a:lnTo>
                <a:pt x="1781175" y="28575"/>
              </a:lnTo>
              <a:lnTo>
                <a:pt x="2085975" y="0"/>
              </a:lnTo>
              <a:lnTo>
                <a:pt x="2447925" y="285750"/>
              </a:lnTo>
              <a:lnTo>
                <a:pt x="2600325" y="533400"/>
              </a:lnTo>
              <a:lnTo>
                <a:pt x="2933700" y="581025"/>
              </a:lnTo>
              <a:lnTo>
                <a:pt x="3305175" y="1038225"/>
              </a:lnTo>
              <a:lnTo>
                <a:pt x="2867025" y="1295400"/>
              </a:lnTo>
              <a:lnTo>
                <a:pt x="3067050" y="1752600"/>
              </a:lnTo>
              <a:lnTo>
                <a:pt x="2847975" y="1981200"/>
              </a:lnTo>
              <a:lnTo>
                <a:pt x="2371725" y="1781175"/>
              </a:lnTo>
              <a:lnTo>
                <a:pt x="1400175" y="2295525"/>
              </a:lnTo>
              <a:lnTo>
                <a:pt x="1143000" y="2228850"/>
              </a:lnTo>
              <a:lnTo>
                <a:pt x="1143000" y="2552700"/>
              </a:lnTo>
              <a:lnTo>
                <a:pt x="676275" y="2447925"/>
              </a:lnTo>
              <a:lnTo>
                <a:pt x="571500" y="1771650"/>
              </a:lnTo>
              <a:lnTo>
                <a:pt x="104775" y="1333500"/>
              </a:lnTo>
              <a:lnTo>
                <a:pt x="381000" y="1066800"/>
              </a:lnTo>
              <a:lnTo>
                <a:pt x="0" y="771525"/>
              </a:lnTo>
              <a:close/>
            </a:path>
          </a:pathLst>
        </a:cu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 editAs="oneCell">
    <xdr:from>
      <xdr:col>0</xdr:col>
      <xdr:colOff>323850</xdr:colOff>
      <xdr:row>3</xdr:row>
      <xdr:rowOff>28575</xdr:rowOff>
    </xdr:from>
    <xdr:to>
      <xdr:col>2</xdr:col>
      <xdr:colOff>295275</xdr:colOff>
      <xdr:row>4</xdr:row>
      <xdr:rowOff>28423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A9C67806-0819-47C3-91A3-A85E2A7CC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3850" y="495300"/>
          <a:ext cx="857250" cy="62849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295276</xdr:colOff>
      <xdr:row>37</xdr:row>
      <xdr:rowOff>66675</xdr:rowOff>
    </xdr:from>
    <xdr:to>
      <xdr:col>10</xdr:col>
      <xdr:colOff>228600</xdr:colOff>
      <xdr:row>52</xdr:row>
      <xdr:rowOff>158750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37</xdr:row>
      <xdr:rowOff>47625</xdr:rowOff>
    </xdr:from>
    <xdr:to>
      <xdr:col>6</xdr:col>
      <xdr:colOff>295275</xdr:colOff>
      <xdr:row>52</xdr:row>
      <xdr:rowOff>146050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5A8DF801-2D4A-4124-AAD4-B6666B905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314326</xdr:colOff>
      <xdr:row>2</xdr:row>
      <xdr:rowOff>142876</xdr:rowOff>
    </xdr:from>
    <xdr:to>
      <xdr:col>2</xdr:col>
      <xdr:colOff>286697</xdr:colOff>
      <xdr:row>3</xdr:row>
      <xdr:rowOff>581026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8B611F01-5990-4EE6-985D-4D5B1F8EC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4326" y="447676"/>
          <a:ext cx="858196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ERU">
  <a:themeElements>
    <a:clrScheme name="ERU">
      <a:dk1>
        <a:srgbClr val="262626"/>
      </a:dk1>
      <a:lt1>
        <a:sysClr val="window" lastClr="FFFFFF"/>
      </a:lt1>
      <a:dk2>
        <a:srgbClr val="23315F"/>
      </a:dk2>
      <a:lt2>
        <a:srgbClr val="D0D0D0"/>
      </a:lt2>
      <a:accent1>
        <a:srgbClr val="23315F"/>
      </a:accent1>
      <a:accent2>
        <a:srgbClr val="5A6588"/>
      </a:accent2>
      <a:accent3>
        <a:srgbClr val="9198B0"/>
      </a:accent3>
      <a:accent4>
        <a:srgbClr val="C8CBD7"/>
      </a:accent4>
      <a:accent5>
        <a:srgbClr val="E02C1F"/>
      </a:accent5>
      <a:accent6>
        <a:srgbClr val="E86158"/>
      </a:accent6>
      <a:hlink>
        <a:srgbClr val="0563C1"/>
      </a:hlink>
      <a:folHlink>
        <a:srgbClr val="E02C1F"/>
      </a:folHlink>
    </a:clrScheme>
    <a:fontScheme name="Výchozí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Motiv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otiv_ERU" id="{9FFB561D-4E9C-47DD-93C1-073C5FD388E9}" vid="{664F4A23-A473-446F-B730-8F377D84977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4EE4A-A0B5-4F83-9926-315C635D1C0E}">
  <sheetPr codeName="List1"/>
  <dimension ref="A1:K50"/>
  <sheetViews>
    <sheetView showGridLines="0" tabSelected="1" showWhiteSpace="0" zoomScaleNormal="100" zoomScaleSheetLayoutView="70" zoomScalePageLayoutView="70" workbookViewId="0">
      <selection activeCell="G1" sqref="G1"/>
    </sheetView>
  </sheetViews>
  <sheetFormatPr defaultColWidth="9.1796875" defaultRowHeight="12.5"/>
  <cols>
    <col min="1" max="1" width="41.54296875" style="117" customWidth="1"/>
    <col min="2" max="2" width="50.453125" style="117" customWidth="1"/>
    <col min="3" max="9" width="9.81640625" style="117" customWidth="1"/>
    <col min="10" max="10" width="10.26953125" style="117" customWidth="1"/>
    <col min="11" max="16384" width="9.1796875" style="117"/>
  </cols>
  <sheetData>
    <row r="1" spans="1:11" ht="399.75" customHeight="1">
      <c r="A1" s="380" t="s">
        <v>325</v>
      </c>
      <c r="B1" s="381"/>
    </row>
    <row r="2" spans="1:11" ht="380.15" customHeight="1">
      <c r="A2" s="118"/>
      <c r="B2" s="119"/>
      <c r="C2" s="120"/>
      <c r="D2" s="120"/>
      <c r="E2" s="120"/>
      <c r="F2" s="120"/>
      <c r="G2" s="120"/>
      <c r="H2" s="120"/>
      <c r="I2" s="120"/>
      <c r="J2" s="120"/>
      <c r="K2" s="117" t="s">
        <v>245</v>
      </c>
    </row>
    <row r="3" spans="1:11" ht="13">
      <c r="B3" s="121"/>
      <c r="D3" s="122"/>
      <c r="E3" s="123"/>
      <c r="F3" s="123"/>
      <c r="G3" s="123"/>
      <c r="J3" s="124"/>
    </row>
    <row r="9" spans="1:11" ht="13">
      <c r="B9" s="125"/>
      <c r="I9" s="126"/>
    </row>
    <row r="10" spans="1:11">
      <c r="B10" s="127"/>
      <c r="C10" s="128"/>
    </row>
    <row r="11" spans="1:11">
      <c r="B11" s="127"/>
      <c r="C11" s="128"/>
    </row>
    <row r="12" spans="1:11">
      <c r="B12" s="127"/>
      <c r="C12" s="128"/>
    </row>
    <row r="13" spans="1:11">
      <c r="A13" s="129"/>
      <c r="B13" s="130"/>
      <c r="C13" s="131"/>
      <c r="D13" s="129"/>
      <c r="E13" s="129"/>
      <c r="F13" s="129"/>
      <c r="G13" s="129"/>
      <c r="H13" s="129"/>
      <c r="I13" s="129"/>
      <c r="J13" s="129"/>
    </row>
    <row r="14" spans="1:11">
      <c r="A14" s="129"/>
      <c r="B14" s="130"/>
      <c r="C14" s="131"/>
      <c r="D14" s="129"/>
      <c r="E14" s="129"/>
      <c r="F14" s="129"/>
      <c r="G14" s="129"/>
      <c r="H14" s="129"/>
      <c r="I14" s="129"/>
      <c r="J14" s="129"/>
    </row>
    <row r="15" spans="1:11">
      <c r="A15" s="129"/>
      <c r="B15" s="130"/>
      <c r="C15" s="131"/>
      <c r="D15" s="129"/>
      <c r="E15" s="129"/>
      <c r="F15" s="129"/>
      <c r="G15" s="129"/>
      <c r="H15" s="129"/>
      <c r="I15" s="129"/>
      <c r="J15" s="129"/>
    </row>
    <row r="16" spans="1:11">
      <c r="A16" s="129"/>
      <c r="B16" s="130"/>
      <c r="C16" s="131"/>
      <c r="D16" s="129"/>
      <c r="E16" s="129"/>
      <c r="F16" s="129"/>
      <c r="G16" s="129"/>
      <c r="H16" s="129"/>
      <c r="I16" s="129"/>
      <c r="J16" s="129"/>
    </row>
    <row r="17" spans="1:10">
      <c r="A17" s="129"/>
      <c r="B17" s="130"/>
      <c r="C17" s="131"/>
      <c r="D17" s="129"/>
      <c r="E17" s="129"/>
      <c r="F17" s="129"/>
      <c r="G17" s="129"/>
      <c r="H17" s="129"/>
      <c r="I17" s="129"/>
      <c r="J17" s="129"/>
    </row>
    <row r="18" spans="1:10">
      <c r="A18" s="129"/>
      <c r="B18" s="130"/>
      <c r="C18" s="131"/>
      <c r="D18" s="129"/>
      <c r="E18" s="129"/>
      <c r="F18" s="129"/>
      <c r="G18" s="129"/>
      <c r="H18" s="129"/>
      <c r="I18" s="129"/>
      <c r="J18" s="129"/>
    </row>
    <row r="19" spans="1:10">
      <c r="A19" s="129"/>
      <c r="B19" s="130"/>
      <c r="C19" s="131"/>
      <c r="D19" s="129"/>
      <c r="E19" s="129"/>
      <c r="F19" s="129"/>
      <c r="G19" s="129"/>
      <c r="H19" s="129"/>
      <c r="I19" s="129"/>
      <c r="J19" s="129"/>
    </row>
    <row r="21" spans="1:10">
      <c r="A21" s="129"/>
      <c r="B21" s="130"/>
      <c r="C21" s="131"/>
      <c r="D21" s="129"/>
      <c r="E21" s="129"/>
      <c r="F21" s="129"/>
      <c r="G21" s="129"/>
      <c r="H21" s="129"/>
      <c r="I21" s="129"/>
      <c r="J21" s="129"/>
    </row>
    <row r="22" spans="1:10">
      <c r="A22" s="129"/>
      <c r="B22" s="130"/>
      <c r="C22" s="131"/>
      <c r="D22" s="129"/>
      <c r="E22" s="129"/>
      <c r="F22" s="129"/>
      <c r="G22" s="129"/>
      <c r="H22" s="129"/>
      <c r="I22" s="129"/>
      <c r="J22" s="129"/>
    </row>
    <row r="23" spans="1:10">
      <c r="A23" s="129"/>
      <c r="B23" s="130"/>
      <c r="C23" s="131"/>
      <c r="D23" s="129"/>
      <c r="E23" s="129"/>
      <c r="F23" s="129"/>
      <c r="G23" s="129"/>
      <c r="H23" s="129"/>
      <c r="I23" s="129"/>
      <c r="J23" s="129"/>
    </row>
    <row r="25" spans="1:10">
      <c r="A25" s="129"/>
      <c r="C25" s="131"/>
      <c r="D25" s="129"/>
      <c r="E25" s="129"/>
      <c r="F25" s="129"/>
      <c r="G25" s="129"/>
      <c r="H25" s="129"/>
      <c r="I25" s="129"/>
      <c r="J25" s="129"/>
    </row>
    <row r="26" spans="1:10">
      <c r="A26" s="129"/>
      <c r="C26" s="131"/>
      <c r="D26" s="129"/>
      <c r="E26" s="129"/>
      <c r="F26" s="129"/>
      <c r="G26" s="129"/>
      <c r="H26" s="129"/>
      <c r="I26" s="129"/>
      <c r="J26" s="129"/>
    </row>
    <row r="27" spans="1:10">
      <c r="A27" s="129"/>
      <c r="C27" s="131"/>
      <c r="D27" s="129"/>
      <c r="E27" s="129"/>
      <c r="F27" s="129"/>
      <c r="G27" s="129"/>
      <c r="H27" s="129"/>
      <c r="I27" s="129"/>
      <c r="J27" s="129"/>
    </row>
    <row r="28" spans="1:10" ht="13">
      <c r="A28" s="382"/>
      <c r="B28" s="382"/>
      <c r="C28" s="382"/>
      <c r="D28" s="382"/>
      <c r="E28" s="382"/>
      <c r="F28" s="382"/>
      <c r="G28" s="382"/>
      <c r="H28" s="382"/>
      <c r="I28" s="382"/>
      <c r="J28" s="382"/>
    </row>
    <row r="29" spans="1:10">
      <c r="A29" s="129"/>
      <c r="B29" s="130"/>
      <c r="C29" s="131"/>
      <c r="D29" s="129"/>
      <c r="E29" s="129"/>
      <c r="F29" s="129"/>
      <c r="G29" s="129"/>
      <c r="H29" s="129"/>
      <c r="I29" s="129"/>
      <c r="J29" s="129"/>
    </row>
    <row r="31" spans="1:10">
      <c r="A31" s="129"/>
      <c r="B31" s="130"/>
      <c r="C31" s="131"/>
      <c r="D31" s="129"/>
      <c r="E31" s="129"/>
      <c r="F31" s="129"/>
      <c r="G31" s="129"/>
      <c r="H31" s="129"/>
      <c r="I31" s="129"/>
      <c r="J31" s="129"/>
    </row>
    <row r="32" spans="1:10">
      <c r="A32" s="129"/>
      <c r="B32" s="130"/>
      <c r="C32" s="131"/>
      <c r="D32" s="129"/>
      <c r="E32" s="129"/>
      <c r="F32" s="129"/>
      <c r="G32" s="129"/>
      <c r="H32" s="129"/>
      <c r="I32" s="129"/>
      <c r="J32" s="129"/>
    </row>
    <row r="33" spans="1:10" ht="13">
      <c r="A33" s="383"/>
      <c r="B33" s="383"/>
      <c r="C33" s="383"/>
      <c r="D33" s="383"/>
      <c r="E33" s="383"/>
      <c r="F33" s="383"/>
      <c r="G33" s="383"/>
      <c r="H33" s="383"/>
      <c r="I33" s="383"/>
      <c r="J33" s="383"/>
    </row>
    <row r="34" spans="1:10" ht="13">
      <c r="B34" s="124"/>
      <c r="C34" s="124"/>
      <c r="D34" s="124"/>
      <c r="E34" s="124"/>
      <c r="F34" s="124"/>
      <c r="G34" s="124"/>
      <c r="H34" s="124"/>
      <c r="I34" s="124"/>
      <c r="J34" s="124"/>
    </row>
    <row r="37" spans="1:10">
      <c r="B37" s="127"/>
      <c r="C37" s="128"/>
    </row>
    <row r="39" spans="1:10" ht="13">
      <c r="B39" s="132"/>
      <c r="C39" s="132"/>
      <c r="D39" s="132"/>
      <c r="E39" s="132"/>
      <c r="F39" s="132"/>
      <c r="G39" s="132"/>
      <c r="H39" s="132"/>
      <c r="I39" s="132"/>
    </row>
    <row r="50" spans="1:10">
      <c r="A50" s="384"/>
      <c r="B50" s="384"/>
      <c r="C50" s="384"/>
      <c r="D50" s="384"/>
      <c r="E50" s="384"/>
      <c r="F50" s="384"/>
      <c r="G50" s="384"/>
      <c r="H50" s="384"/>
      <c r="I50" s="384"/>
      <c r="J50" s="384"/>
    </row>
  </sheetData>
  <mergeCells count="4">
    <mergeCell ref="A1:B1"/>
    <mergeCell ref="A28:J28"/>
    <mergeCell ref="A33:J33"/>
    <mergeCell ref="A50:J50"/>
  </mergeCells>
  <printOptions verticalCentered="1"/>
  <pageMargins left="0.59055118110236227" right="0.59055118110236227" top="0.39370078740157483" bottom="0.59055118110236227" header="0" footer="0"/>
  <pageSetup paperSize="9" scale="9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2"/>
  <dimension ref="A1:O55"/>
  <sheetViews>
    <sheetView showGridLines="0" topLeftCell="A48" zoomScaleNormal="100" zoomScaleSheetLayoutView="100" workbookViewId="0">
      <selection activeCell="G1" sqref="G1"/>
    </sheetView>
  </sheetViews>
  <sheetFormatPr defaultColWidth="9.1796875" defaultRowHeight="12.5"/>
  <cols>
    <col min="1" max="1" width="18.453125" style="67" customWidth="1"/>
    <col min="2" max="10" width="9" style="67" customWidth="1"/>
    <col min="11" max="12" width="7.7265625" style="67" customWidth="1"/>
    <col min="13" max="13" width="9.26953125" style="67" bestFit="1" customWidth="1"/>
    <col min="14" max="14" width="9.81640625" style="67" bestFit="1" customWidth="1"/>
    <col min="15" max="16384" width="9.1796875" style="67"/>
  </cols>
  <sheetData>
    <row r="1" spans="1:10" ht="18">
      <c r="A1" s="437" t="s">
        <v>282</v>
      </c>
      <c r="B1" s="437"/>
      <c r="C1" s="437"/>
      <c r="D1" s="437"/>
      <c r="E1" s="437"/>
      <c r="F1" s="437"/>
      <c r="G1" s="437"/>
      <c r="H1" s="437"/>
      <c r="I1" s="437"/>
      <c r="J1" s="437"/>
    </row>
    <row r="2" spans="1:10" ht="6" customHeight="1">
      <c r="A2" s="234"/>
      <c r="B2" s="235"/>
      <c r="C2" s="235"/>
      <c r="D2" s="235"/>
      <c r="E2" s="235"/>
      <c r="F2" s="235"/>
      <c r="G2" s="235"/>
      <c r="H2" s="235"/>
      <c r="I2" s="235"/>
      <c r="J2" s="235"/>
    </row>
    <row r="3" spans="1:10" ht="15.75" customHeight="1">
      <c r="A3" s="274">
        <f>'3.1'!A4</f>
        <v>2025</v>
      </c>
      <c r="B3" s="439" t="str">
        <f>'3.1'!D5</f>
        <v>Říjen</v>
      </c>
      <c r="C3" s="438"/>
      <c r="D3" s="440"/>
      <c r="E3" s="438" t="str">
        <f>'3.1'!E5</f>
        <v>Listopad</v>
      </c>
      <c r="F3" s="438"/>
      <c r="G3" s="438"/>
      <c r="H3" s="439" t="str">
        <f>'3.1'!F5</f>
        <v>Prosinec</v>
      </c>
      <c r="I3" s="438"/>
      <c r="J3" s="438"/>
    </row>
    <row r="4" spans="1:10" ht="28.5" customHeight="1">
      <c r="A4" s="254"/>
      <c r="B4" s="441" t="s">
        <v>59</v>
      </c>
      <c r="C4" s="442"/>
      <c r="D4" s="204" t="s">
        <v>179</v>
      </c>
      <c r="E4" s="442" t="s">
        <v>59</v>
      </c>
      <c r="F4" s="442"/>
      <c r="G4" s="201" t="s">
        <v>179</v>
      </c>
      <c r="H4" s="441" t="s">
        <v>59</v>
      </c>
      <c r="I4" s="442"/>
      <c r="J4" s="201" t="s">
        <v>179</v>
      </c>
    </row>
    <row r="5" spans="1:10" ht="15" customHeight="1">
      <c r="A5" s="242" t="s">
        <v>172</v>
      </c>
      <c r="B5" s="203" t="s">
        <v>247</v>
      </c>
      <c r="C5" s="201" t="s">
        <v>248</v>
      </c>
      <c r="D5" s="204" t="s">
        <v>218</v>
      </c>
      <c r="E5" s="201" t="s">
        <v>247</v>
      </c>
      <c r="F5" s="201" t="s">
        <v>248</v>
      </c>
      <c r="G5" s="201" t="s">
        <v>218</v>
      </c>
      <c r="H5" s="203" t="s">
        <v>247</v>
      </c>
      <c r="I5" s="201" t="s">
        <v>248</v>
      </c>
      <c r="J5" s="201" t="s">
        <v>218</v>
      </c>
    </row>
    <row r="6" spans="1:10" ht="12.65" customHeight="1">
      <c r="A6" s="137">
        <v>1</v>
      </c>
      <c r="B6" s="138">
        <v>19580.838529038716</v>
      </c>
      <c r="C6" s="139">
        <v>216410.67365403715</v>
      </c>
      <c r="D6" s="248">
        <v>6.8</v>
      </c>
      <c r="E6" s="139">
        <v>17543.933057475606</v>
      </c>
      <c r="F6" s="139">
        <v>193169.31033716904</v>
      </c>
      <c r="G6" s="236">
        <v>9.6999999999999993</v>
      </c>
      <c r="H6" s="138">
        <v>32249.981204786476</v>
      </c>
      <c r="I6" s="139">
        <v>354118.75731754361</v>
      </c>
      <c r="J6" s="236">
        <v>1.7</v>
      </c>
    </row>
    <row r="7" spans="1:10" ht="12.65" customHeight="1">
      <c r="A7" s="137">
        <v>2</v>
      </c>
      <c r="B7" s="138">
        <v>20319.347602470043</v>
      </c>
      <c r="C7" s="139">
        <v>224569.23665403714</v>
      </c>
      <c r="D7" s="248">
        <v>5.5</v>
      </c>
      <c r="E7" s="139">
        <v>18071.784305816895</v>
      </c>
      <c r="F7" s="139">
        <v>198982.35233716905</v>
      </c>
      <c r="G7" s="236">
        <v>9.6999999999999993</v>
      </c>
      <c r="H7" s="138">
        <v>32412.85593670603</v>
      </c>
      <c r="I7" s="139">
        <v>355910.39331754355</v>
      </c>
      <c r="J7" s="236">
        <v>1.4</v>
      </c>
    </row>
    <row r="8" spans="1:10" ht="12.65" customHeight="1">
      <c r="A8" s="137">
        <v>3</v>
      </c>
      <c r="B8" s="138">
        <v>20089.025699690828</v>
      </c>
      <c r="C8" s="139">
        <v>222026.51865403715</v>
      </c>
      <c r="D8" s="248">
        <v>4.0999999999999996</v>
      </c>
      <c r="E8" s="139">
        <v>21756.3350840649</v>
      </c>
      <c r="F8" s="139">
        <v>239544.36033716906</v>
      </c>
      <c r="G8" s="236">
        <v>6.3</v>
      </c>
      <c r="H8" s="138">
        <v>32035.323554668266</v>
      </c>
      <c r="I8" s="139">
        <v>351770.4813175436</v>
      </c>
      <c r="J8" s="236">
        <v>1.5</v>
      </c>
    </row>
    <row r="9" spans="1:10" ht="12.65" customHeight="1">
      <c r="A9" s="137">
        <v>4</v>
      </c>
      <c r="B9" s="138">
        <v>17803.718755143207</v>
      </c>
      <c r="C9" s="139">
        <v>196773.73665403714</v>
      </c>
      <c r="D9" s="248">
        <v>7.4</v>
      </c>
      <c r="E9" s="139">
        <v>22308.775723864339</v>
      </c>
      <c r="F9" s="139">
        <v>245626.51133716907</v>
      </c>
      <c r="G9" s="236">
        <v>5.5</v>
      </c>
      <c r="H9" s="138">
        <v>30525.34777074878</v>
      </c>
      <c r="I9" s="139">
        <v>335189.66831754363</v>
      </c>
      <c r="J9" s="236">
        <v>3.1</v>
      </c>
    </row>
    <row r="10" spans="1:10" ht="12.65" customHeight="1">
      <c r="A10" s="137">
        <v>5</v>
      </c>
      <c r="B10" s="138">
        <v>17633.879850317509</v>
      </c>
      <c r="C10" s="139">
        <v>194895.43465403712</v>
      </c>
      <c r="D10" s="248">
        <v>8.6</v>
      </c>
      <c r="E10" s="139">
        <v>23362.341792724812</v>
      </c>
      <c r="F10" s="139">
        <v>257228.11033716906</v>
      </c>
      <c r="G10" s="236">
        <v>5.0999999999999996</v>
      </c>
      <c r="H10" s="138">
        <v>28844.51493081349</v>
      </c>
      <c r="I10" s="139">
        <v>316734.36431754357</v>
      </c>
      <c r="J10" s="236">
        <v>3.7</v>
      </c>
    </row>
    <row r="11" spans="1:10" ht="12.65" customHeight="1">
      <c r="A11" s="137">
        <v>6</v>
      </c>
      <c r="B11" s="138">
        <v>19851.838860069522</v>
      </c>
      <c r="C11" s="139">
        <v>219407.61565403713</v>
      </c>
      <c r="D11" s="248">
        <v>9.1999999999999993</v>
      </c>
      <c r="E11" s="139">
        <v>23177.522079707163</v>
      </c>
      <c r="F11" s="139">
        <v>255194.23533716906</v>
      </c>
      <c r="G11" s="236">
        <v>6</v>
      </c>
      <c r="H11" s="138">
        <v>25777.281711111515</v>
      </c>
      <c r="I11" s="139">
        <v>283060.42631754361</v>
      </c>
      <c r="J11" s="236">
        <v>2.8</v>
      </c>
    </row>
    <row r="12" spans="1:10" ht="12.65" customHeight="1">
      <c r="A12" s="137">
        <v>7</v>
      </c>
      <c r="B12" s="138">
        <v>19303.6334575115</v>
      </c>
      <c r="C12" s="139">
        <v>213343.18865403711</v>
      </c>
      <c r="D12" s="248">
        <v>10.199999999999999</v>
      </c>
      <c r="E12" s="139">
        <v>22579.435996841217</v>
      </c>
      <c r="F12" s="139">
        <v>248608.95533716903</v>
      </c>
      <c r="G12" s="236">
        <v>6.2</v>
      </c>
      <c r="H12" s="138">
        <v>25156.264247640822</v>
      </c>
      <c r="I12" s="139">
        <v>276232.04731754359</v>
      </c>
      <c r="J12" s="236">
        <v>4.7</v>
      </c>
    </row>
    <row r="13" spans="1:10" ht="12.65" customHeight="1">
      <c r="A13" s="137">
        <v>8</v>
      </c>
      <c r="B13" s="138">
        <v>17951.078507147784</v>
      </c>
      <c r="C13" s="139">
        <v>198392.67165403714</v>
      </c>
      <c r="D13" s="248">
        <v>11.4</v>
      </c>
      <c r="E13" s="139">
        <v>20800.603886859979</v>
      </c>
      <c r="F13" s="139">
        <v>229024.65033716909</v>
      </c>
      <c r="G13" s="236">
        <v>5.6</v>
      </c>
      <c r="H13" s="138">
        <v>26277.400846984594</v>
      </c>
      <c r="I13" s="139">
        <v>288538.31531754357</v>
      </c>
      <c r="J13" s="236">
        <v>7.8</v>
      </c>
    </row>
    <row r="14" spans="1:10" ht="12.65" customHeight="1">
      <c r="A14" s="137">
        <v>9</v>
      </c>
      <c r="B14" s="138">
        <v>17280.214277389525</v>
      </c>
      <c r="C14" s="139">
        <v>190981.57965403711</v>
      </c>
      <c r="D14" s="248">
        <v>11.1</v>
      </c>
      <c r="E14" s="139">
        <v>21908.544107140664</v>
      </c>
      <c r="F14" s="139">
        <v>241226.25833716904</v>
      </c>
      <c r="G14" s="236">
        <v>5</v>
      </c>
      <c r="H14" s="138">
        <v>24789.892747093316</v>
      </c>
      <c r="I14" s="139">
        <v>272204.50031754357</v>
      </c>
      <c r="J14" s="236">
        <v>8</v>
      </c>
    </row>
    <row r="15" spans="1:10" ht="12.65" customHeight="1">
      <c r="A15" s="137">
        <v>10</v>
      </c>
      <c r="B15" s="138">
        <v>17461.373097428786</v>
      </c>
      <c r="C15" s="139">
        <v>192983.30465403709</v>
      </c>
      <c r="D15" s="248">
        <v>10.9</v>
      </c>
      <c r="E15" s="139">
        <v>24518.538584281599</v>
      </c>
      <c r="F15" s="139">
        <v>269960.0113371691</v>
      </c>
      <c r="G15" s="236">
        <v>6</v>
      </c>
      <c r="H15" s="138">
        <v>26403.125211008082</v>
      </c>
      <c r="I15" s="139">
        <v>289927.35231754358</v>
      </c>
      <c r="J15" s="236">
        <v>6</v>
      </c>
    </row>
    <row r="16" spans="1:10" ht="12.65" customHeight="1">
      <c r="A16" s="137">
        <v>11</v>
      </c>
      <c r="B16" s="138">
        <v>14727.247675021759</v>
      </c>
      <c r="C16" s="139">
        <v>162765.97265403712</v>
      </c>
      <c r="D16" s="248">
        <v>11.7</v>
      </c>
      <c r="E16" s="139">
        <v>24900.299336235134</v>
      </c>
      <c r="F16" s="139">
        <v>274163.6523371691</v>
      </c>
      <c r="G16" s="236">
        <v>5.0999999999999996</v>
      </c>
      <c r="H16" s="138">
        <v>27829.25800228833</v>
      </c>
      <c r="I16" s="139">
        <v>305598.66931754362</v>
      </c>
      <c r="J16" s="236">
        <v>5.3</v>
      </c>
    </row>
    <row r="17" spans="1:10" ht="12.65" customHeight="1">
      <c r="A17" s="137">
        <v>12</v>
      </c>
      <c r="B17" s="138">
        <v>15391.380163510226</v>
      </c>
      <c r="C17" s="139">
        <v>170107.16265403712</v>
      </c>
      <c r="D17" s="248">
        <v>10.8</v>
      </c>
      <c r="E17" s="139">
        <v>25505.084541572367</v>
      </c>
      <c r="F17" s="139">
        <v>280821.49733716907</v>
      </c>
      <c r="G17" s="236">
        <v>4.5999999999999996</v>
      </c>
      <c r="H17" s="138">
        <v>30515.361085870689</v>
      </c>
      <c r="I17" s="139">
        <v>335106.73231754365</v>
      </c>
      <c r="J17" s="236">
        <v>1.8</v>
      </c>
    </row>
    <row r="18" spans="1:10" ht="12.65" customHeight="1">
      <c r="A18" s="137">
        <v>13</v>
      </c>
      <c r="B18" s="138">
        <v>18562.548674515056</v>
      </c>
      <c r="C18" s="139">
        <v>205151.81365403713</v>
      </c>
      <c r="D18" s="249">
        <v>8.6</v>
      </c>
      <c r="E18" s="139">
        <v>26065.912552604907</v>
      </c>
      <c r="F18" s="139">
        <v>286994.82633716904</v>
      </c>
      <c r="G18" s="237">
        <v>4.4000000000000004</v>
      </c>
      <c r="H18" s="138">
        <v>29171.667053297708</v>
      </c>
      <c r="I18" s="139">
        <v>320360.74431754358</v>
      </c>
      <c r="J18" s="237">
        <v>0.6</v>
      </c>
    </row>
    <row r="19" spans="1:10" ht="12.65" customHeight="1">
      <c r="A19" s="137">
        <v>14</v>
      </c>
      <c r="B19" s="138">
        <v>20353.409388511071</v>
      </c>
      <c r="C19" s="139">
        <v>224941.61765403711</v>
      </c>
      <c r="D19" s="249">
        <v>8.1</v>
      </c>
      <c r="E19" s="139">
        <v>25250.966313261481</v>
      </c>
      <c r="F19" s="139">
        <v>278024.68233716907</v>
      </c>
      <c r="G19" s="237">
        <v>4.5999999999999996</v>
      </c>
      <c r="H19" s="138">
        <v>29262.365323065693</v>
      </c>
      <c r="I19" s="139">
        <v>321346.02631754358</v>
      </c>
      <c r="J19" s="237">
        <v>1</v>
      </c>
    </row>
    <row r="20" spans="1:10" ht="12.65" customHeight="1">
      <c r="A20" s="137">
        <v>15</v>
      </c>
      <c r="B20" s="138">
        <v>20218.751216481745</v>
      </c>
      <c r="C20" s="139">
        <v>223455.38865403709</v>
      </c>
      <c r="D20" s="249">
        <v>8.4</v>
      </c>
      <c r="E20" s="139">
        <v>21643.837857324837</v>
      </c>
      <c r="F20" s="139">
        <v>238312.69133716906</v>
      </c>
      <c r="G20" s="237">
        <v>5.8</v>
      </c>
      <c r="H20" s="138">
        <v>34826.935810305193</v>
      </c>
      <c r="I20" s="139">
        <v>382461.46031754359</v>
      </c>
      <c r="J20" s="237">
        <v>-0.6</v>
      </c>
    </row>
    <row r="21" spans="1:10" ht="12.65" customHeight="1">
      <c r="A21" s="137">
        <v>16</v>
      </c>
      <c r="B21" s="138">
        <v>19563.176926047552</v>
      </c>
      <c r="C21" s="139">
        <v>216213.83165403712</v>
      </c>
      <c r="D21" s="249">
        <v>8.8000000000000007</v>
      </c>
      <c r="E21" s="139">
        <v>20756.977757147426</v>
      </c>
      <c r="F21" s="139">
        <v>228545.57133716909</v>
      </c>
      <c r="G21" s="237">
        <v>6.6</v>
      </c>
      <c r="H21" s="138">
        <v>36526.84421124147</v>
      </c>
      <c r="I21" s="139">
        <v>401132.76731754362</v>
      </c>
      <c r="J21" s="237">
        <v>-0.5</v>
      </c>
    </row>
    <row r="22" spans="1:10" ht="12.65" customHeight="1">
      <c r="A22" s="137">
        <v>17</v>
      </c>
      <c r="B22" s="138">
        <v>18857.684128219578</v>
      </c>
      <c r="C22" s="139">
        <v>208416.93565403714</v>
      </c>
      <c r="D22" s="249">
        <v>9</v>
      </c>
      <c r="E22" s="139">
        <v>24595.239549395508</v>
      </c>
      <c r="F22" s="139">
        <v>270807.96133716905</v>
      </c>
      <c r="G22" s="237">
        <v>3.4</v>
      </c>
      <c r="H22" s="138">
        <v>35323.475375840797</v>
      </c>
      <c r="I22" s="139">
        <v>387910.13331754366</v>
      </c>
      <c r="J22" s="237">
        <v>0.5</v>
      </c>
    </row>
    <row r="23" spans="1:10" ht="12.65" customHeight="1">
      <c r="A23" s="137">
        <v>18</v>
      </c>
      <c r="B23" s="138">
        <v>18522.678540918852</v>
      </c>
      <c r="C23" s="238">
        <v>204722.12865403714</v>
      </c>
      <c r="D23" s="250">
        <v>4.3</v>
      </c>
      <c r="E23" s="139">
        <v>29233.326245009379</v>
      </c>
      <c r="F23" s="238">
        <v>321874.57733716903</v>
      </c>
      <c r="G23" s="239">
        <v>-0.3</v>
      </c>
      <c r="H23" s="138">
        <v>33681.970278203582</v>
      </c>
      <c r="I23" s="238">
        <v>369881.96431754366</v>
      </c>
      <c r="J23" s="239">
        <v>1.1000000000000001</v>
      </c>
    </row>
    <row r="24" spans="1:10" ht="12.65" customHeight="1">
      <c r="A24" s="137">
        <v>19</v>
      </c>
      <c r="B24" s="138">
        <v>20323.093866245388</v>
      </c>
      <c r="C24" s="238">
        <v>224622.14165403714</v>
      </c>
      <c r="D24" s="250">
        <v>3.7</v>
      </c>
      <c r="E24" s="139">
        <v>31017.01392485229</v>
      </c>
      <c r="F24" s="238">
        <v>341514.73133716901</v>
      </c>
      <c r="G24" s="239">
        <v>-0.9</v>
      </c>
      <c r="H24" s="138">
        <v>31794.463546561539</v>
      </c>
      <c r="I24" s="238">
        <v>349165.28931754356</v>
      </c>
      <c r="J24" s="239">
        <v>1.4</v>
      </c>
    </row>
    <row r="25" spans="1:10" ht="12.65" customHeight="1">
      <c r="A25" s="137">
        <v>20</v>
      </c>
      <c r="B25" s="138">
        <v>22393.171467716256</v>
      </c>
      <c r="C25" s="139">
        <v>247497.10665403711</v>
      </c>
      <c r="D25" s="249">
        <v>6.7</v>
      </c>
      <c r="E25" s="139">
        <v>31916.582742800321</v>
      </c>
      <c r="F25" s="139">
        <v>351419.46333716909</v>
      </c>
      <c r="G25" s="237">
        <v>0.8</v>
      </c>
      <c r="H25" s="138">
        <v>29474.165476935395</v>
      </c>
      <c r="I25" s="139">
        <v>323684.0193175436</v>
      </c>
      <c r="J25" s="237">
        <v>1.5</v>
      </c>
    </row>
    <row r="26" spans="1:10" ht="12.65" customHeight="1">
      <c r="A26" s="137">
        <v>21</v>
      </c>
      <c r="B26" s="138">
        <v>20498.651133258161</v>
      </c>
      <c r="C26" s="139">
        <v>226550.53365403711</v>
      </c>
      <c r="D26" s="249">
        <v>9.6999999999999993</v>
      </c>
      <c r="E26" s="139">
        <v>33513.996551049706</v>
      </c>
      <c r="F26" s="139">
        <v>369008.79133716912</v>
      </c>
      <c r="G26" s="237">
        <v>-1.7</v>
      </c>
      <c r="H26" s="138">
        <v>28562.884679516912</v>
      </c>
      <c r="I26" s="139">
        <v>313677.99131754355</v>
      </c>
      <c r="J26" s="237">
        <v>1.7</v>
      </c>
    </row>
    <row r="27" spans="1:10" ht="12.65" customHeight="1">
      <c r="A27" s="137">
        <v>22</v>
      </c>
      <c r="B27" s="138">
        <v>20367.898596891238</v>
      </c>
      <c r="C27" s="139">
        <v>225109.8356540371</v>
      </c>
      <c r="D27" s="249">
        <v>10.1</v>
      </c>
      <c r="E27" s="139">
        <v>31185.307036665534</v>
      </c>
      <c r="F27" s="139">
        <v>343372.7613371691</v>
      </c>
      <c r="G27" s="237">
        <v>-4</v>
      </c>
      <c r="H27" s="138">
        <v>30301.557757399016</v>
      </c>
      <c r="I27" s="139">
        <v>332771.56931754359</v>
      </c>
      <c r="J27" s="237">
        <v>1.9</v>
      </c>
    </row>
    <row r="28" spans="1:10" ht="12.65" customHeight="1">
      <c r="A28" s="137">
        <v>23</v>
      </c>
      <c r="B28" s="246">
        <v>18966.067579540329</v>
      </c>
      <c r="C28" s="240">
        <v>209618.04065403712</v>
      </c>
      <c r="D28" s="248">
        <v>10.7</v>
      </c>
      <c r="E28" s="240">
        <v>33266.140510849051</v>
      </c>
      <c r="F28" s="240">
        <v>366284.96633716911</v>
      </c>
      <c r="G28" s="236">
        <v>-5.6</v>
      </c>
      <c r="H28" s="246">
        <v>29635.836022357857</v>
      </c>
      <c r="I28" s="240">
        <v>325456.5463175436</v>
      </c>
      <c r="J28" s="236">
        <v>1.1000000000000001</v>
      </c>
    </row>
    <row r="29" spans="1:10" ht="12.65" customHeight="1">
      <c r="A29" s="137">
        <v>24</v>
      </c>
      <c r="B29" s="247">
        <v>20871.986531866631</v>
      </c>
      <c r="C29" s="241">
        <v>230685.06565403714</v>
      </c>
      <c r="D29" s="248">
        <v>6.2</v>
      </c>
      <c r="E29" s="241">
        <v>34985.083111465043</v>
      </c>
      <c r="F29" s="241">
        <v>385209.8153371691</v>
      </c>
      <c r="G29" s="236">
        <v>-1.1000000000000001</v>
      </c>
      <c r="H29" s="247">
        <v>29158.846485816037</v>
      </c>
      <c r="I29" s="241">
        <v>320193.71831754356</v>
      </c>
      <c r="J29" s="236">
        <v>-2.6</v>
      </c>
    </row>
    <row r="30" spans="1:10" ht="12.65" customHeight="1">
      <c r="A30" s="137">
        <v>25</v>
      </c>
      <c r="B30" s="138">
        <v>19918.735321030053</v>
      </c>
      <c r="C30" s="139">
        <v>220148.54265403713</v>
      </c>
      <c r="D30" s="249">
        <v>7.2</v>
      </c>
      <c r="E30" s="139">
        <v>33958.207279445531</v>
      </c>
      <c r="F30" s="139">
        <v>373903.75333716907</v>
      </c>
      <c r="G30" s="237">
        <v>0.5</v>
      </c>
      <c r="H30" s="138">
        <v>30670.503078342037</v>
      </c>
      <c r="I30" s="139">
        <v>336790.93131754355</v>
      </c>
      <c r="J30" s="237">
        <v>-4.0999999999999996</v>
      </c>
    </row>
    <row r="31" spans="1:10" ht="12.65" customHeight="1">
      <c r="A31" s="137">
        <v>26</v>
      </c>
      <c r="B31" s="138">
        <v>20108.524393400716</v>
      </c>
      <c r="C31" s="139">
        <v>222248.75365403714</v>
      </c>
      <c r="D31" s="249">
        <v>6.5</v>
      </c>
      <c r="E31" s="139">
        <v>34425.54584516256</v>
      </c>
      <c r="F31" s="139">
        <v>379047.79133716907</v>
      </c>
      <c r="G31" s="237">
        <v>-0.2</v>
      </c>
      <c r="H31" s="138">
        <v>30875.769958303252</v>
      </c>
      <c r="I31" s="139">
        <v>339046.10031754361</v>
      </c>
      <c r="J31" s="237">
        <v>-2.9</v>
      </c>
    </row>
    <row r="32" spans="1:10" ht="12.65" customHeight="1">
      <c r="A32" s="137">
        <v>27</v>
      </c>
      <c r="B32" s="138">
        <v>23065.487034265407</v>
      </c>
      <c r="C32" s="139">
        <v>254927.96565403714</v>
      </c>
      <c r="D32" s="249">
        <v>5.7</v>
      </c>
      <c r="E32" s="139">
        <v>34377.269498074456</v>
      </c>
      <c r="F32" s="139">
        <v>378514.71933716914</v>
      </c>
      <c r="G32" s="237">
        <v>-0.8</v>
      </c>
      <c r="H32" s="138">
        <v>29970.180259444671</v>
      </c>
      <c r="I32" s="139">
        <v>329098.2853175436</v>
      </c>
      <c r="J32" s="237">
        <v>-1.5</v>
      </c>
    </row>
    <row r="33" spans="1:15" ht="12.65" customHeight="1">
      <c r="A33" s="137">
        <v>28</v>
      </c>
      <c r="B33" s="138">
        <v>21507.220116459972</v>
      </c>
      <c r="C33" s="139">
        <v>237704.82565403715</v>
      </c>
      <c r="D33" s="249">
        <v>8.5</v>
      </c>
      <c r="E33" s="139">
        <v>34076.697039507926</v>
      </c>
      <c r="F33" s="139">
        <v>375200.31533716904</v>
      </c>
      <c r="G33" s="237">
        <v>-2.6</v>
      </c>
      <c r="H33" s="138">
        <v>30436.815928875927</v>
      </c>
      <c r="I33" s="139">
        <v>334224.08531754359</v>
      </c>
      <c r="J33" s="237">
        <v>-2.2000000000000002</v>
      </c>
    </row>
    <row r="34" spans="1:15" ht="12.65" customHeight="1">
      <c r="A34" s="137">
        <v>29</v>
      </c>
      <c r="B34" s="138">
        <v>20665.426783604802</v>
      </c>
      <c r="C34" s="139">
        <v>228401.72265403715</v>
      </c>
      <c r="D34" s="249">
        <v>9.1999999999999993</v>
      </c>
      <c r="E34" s="139">
        <v>29485.7593763066</v>
      </c>
      <c r="F34" s="139">
        <v>324654.26233716909</v>
      </c>
      <c r="G34" s="237">
        <v>0.4</v>
      </c>
      <c r="H34" s="138">
        <v>31758.964782797648</v>
      </c>
      <c r="I34" s="139">
        <v>348743.16531754355</v>
      </c>
      <c r="J34" s="237">
        <v>-1.4</v>
      </c>
    </row>
    <row r="35" spans="1:15" ht="12.65" customHeight="1">
      <c r="A35" s="137">
        <v>30</v>
      </c>
      <c r="B35" s="138">
        <v>21612.347459771619</v>
      </c>
      <c r="C35" s="139">
        <v>238867.03665403707</v>
      </c>
      <c r="D35" s="249">
        <v>7.4</v>
      </c>
      <c r="E35" s="139">
        <v>29883.625050865703</v>
      </c>
      <c r="F35" s="139">
        <v>329034.19333716901</v>
      </c>
      <c r="G35" s="237">
        <v>0.4</v>
      </c>
      <c r="H35" s="138">
        <v>32285.182456839004</v>
      </c>
      <c r="I35" s="139">
        <v>354521.20031754364</v>
      </c>
      <c r="J35" s="237">
        <v>-2.9</v>
      </c>
    </row>
    <row r="36" spans="1:15" ht="12.65" customHeight="1">
      <c r="A36" s="142">
        <v>31</v>
      </c>
      <c r="B36" s="143">
        <v>21719.28225353605</v>
      </c>
      <c r="C36" s="144">
        <v>240047.59965403713</v>
      </c>
      <c r="D36" s="251">
        <v>5</v>
      </c>
      <c r="E36" s="144"/>
      <c r="F36" s="144"/>
      <c r="G36" s="243"/>
      <c r="H36" s="143">
        <v>31908.986891911023</v>
      </c>
      <c r="I36" s="144">
        <v>350392.02231754357</v>
      </c>
      <c r="J36" s="243">
        <v>-2.6</v>
      </c>
    </row>
    <row r="37" spans="1:15" ht="12.65" customHeight="1">
      <c r="A37" s="244" t="s">
        <v>0</v>
      </c>
      <c r="B37" s="152">
        <f>SUM(B6:B36)</f>
        <v>605489.71788701997</v>
      </c>
      <c r="C37" s="153">
        <f>SUM(C6:C36)</f>
        <v>6691987.9822751526</v>
      </c>
      <c r="D37" s="252">
        <f>AVERAGE(D6:D36)</f>
        <v>8.1129032258064484</v>
      </c>
      <c r="E37" s="153">
        <f>SUM(E6:E36)</f>
        <v>806070.6867383729</v>
      </c>
      <c r="F37" s="153">
        <f>SUM(F6:F36)</f>
        <v>8875275.7791150715</v>
      </c>
      <c r="G37" s="245">
        <f>AVERAGE(G6:G36)</f>
        <v>2.8166666666666669</v>
      </c>
      <c r="H37" s="152">
        <f>SUM(H6:H36)</f>
        <v>938444.02262677508</v>
      </c>
      <c r="I37" s="153">
        <f>SUM(I6:I36)</f>
        <v>10305249.727843851</v>
      </c>
      <c r="J37" s="245">
        <f>AVERAGE(J6:J36)</f>
        <v>1.2032258064516128</v>
      </c>
      <c r="M37" s="35"/>
      <c r="N37" s="35"/>
      <c r="O37" s="68"/>
    </row>
    <row r="38" spans="1:15" ht="13" customHeight="1">
      <c r="A38" s="137" t="s">
        <v>173</v>
      </c>
      <c r="B38" s="138">
        <f>MAX(B6:B36)</f>
        <v>23065.487034265407</v>
      </c>
      <c r="C38" s="139">
        <f>MAX(C6:C36)</f>
        <v>254927.96565403714</v>
      </c>
      <c r="D38" s="249">
        <f>VLOOKUP(B38,$B$6:$D$36,3,FALSE)</f>
        <v>5.7</v>
      </c>
      <c r="E38" s="139">
        <f>MAX(E6:E36)</f>
        <v>34985.083111465043</v>
      </c>
      <c r="F38" s="139">
        <f>MAX(F6:F36)</f>
        <v>385209.8153371691</v>
      </c>
      <c r="G38" s="237">
        <f>VLOOKUP(E38,$E$6:$G$36,3,FALSE)</f>
        <v>-1.1000000000000001</v>
      </c>
      <c r="H38" s="138">
        <f>MAX(H6:H36)</f>
        <v>36526.84421124147</v>
      </c>
      <c r="I38" s="139">
        <f>MAX(I6:I36)</f>
        <v>401132.76731754362</v>
      </c>
      <c r="J38" s="237">
        <f>VLOOKUP(H38,$H$6:$J$36,3,FALSE)</f>
        <v>-0.5</v>
      </c>
    </row>
    <row r="39" spans="1:15" ht="13" customHeight="1">
      <c r="A39" s="137" t="s">
        <v>174</v>
      </c>
      <c r="B39" s="138">
        <f>MIN(B6:B36)</f>
        <v>14727.247675021759</v>
      </c>
      <c r="C39" s="139">
        <f>MIN(C6:C36)</f>
        <v>162765.97265403712</v>
      </c>
      <c r="D39" s="249">
        <f>VLOOKUP(B39,$B$6:$D$36,3,FALSE)</f>
        <v>11.7</v>
      </c>
      <c r="E39" s="139">
        <f>MIN(E6:E36)</f>
        <v>17543.933057475606</v>
      </c>
      <c r="F39" s="139">
        <f>MIN(F6:F36)</f>
        <v>193169.31033716904</v>
      </c>
      <c r="G39" s="237">
        <f>VLOOKUP(E39,$E$6:$G$36,3,FALSE)</f>
        <v>9.6999999999999993</v>
      </c>
      <c r="H39" s="138">
        <f>MIN(H6:H36)</f>
        <v>24789.892747093316</v>
      </c>
      <c r="I39" s="139">
        <f>MIN(I6:I36)</f>
        <v>272204.50031754357</v>
      </c>
      <c r="J39" s="237">
        <f>VLOOKUP(H39,$H$6:$J$36,3,FALSE)</f>
        <v>8</v>
      </c>
    </row>
    <row r="40" spans="1:15" ht="13" customHeight="1">
      <c r="A40" s="142" t="s">
        <v>175</v>
      </c>
      <c r="B40" s="143">
        <f t="shared" ref="B40:J40" si="0">AVERAGE(B6:B36)</f>
        <v>19531.926383452257</v>
      </c>
      <c r="C40" s="144">
        <f t="shared" si="0"/>
        <v>215870.58007339202</v>
      </c>
      <c r="D40" s="251">
        <f t="shared" si="0"/>
        <v>8.1129032258064484</v>
      </c>
      <c r="E40" s="144">
        <f t="shared" si="0"/>
        <v>26869.022891279095</v>
      </c>
      <c r="F40" s="144">
        <f>AVERAGE(F6:F36)</f>
        <v>295842.52597050241</v>
      </c>
      <c r="G40" s="243">
        <f>AVERAGE(G6:G36)</f>
        <v>2.8166666666666669</v>
      </c>
      <c r="H40" s="143">
        <f>AVERAGE(H6:H36)</f>
        <v>30272.387826670165</v>
      </c>
      <c r="I40" s="144">
        <f t="shared" si="0"/>
        <v>332427.41057560808</v>
      </c>
      <c r="J40" s="243">
        <f t="shared" si="0"/>
        <v>1.2032258064516128</v>
      </c>
    </row>
    <row r="41" spans="1:15" ht="15" customHeight="1">
      <c r="A41" s="37"/>
      <c r="B41" s="434" t="str">
        <f>B3</f>
        <v>Říjen</v>
      </c>
      <c r="C41" s="435"/>
      <c r="D41" s="436"/>
      <c r="E41" s="434" t="str">
        <f>E3</f>
        <v>Listopad</v>
      </c>
      <c r="F41" s="435"/>
      <c r="G41" s="436"/>
      <c r="H41" s="434" t="str">
        <f>H3</f>
        <v>Prosinec</v>
      </c>
      <c r="I41" s="435"/>
      <c r="J41" s="435"/>
    </row>
    <row r="42" spans="1:15" ht="15" customHeight="1">
      <c r="A42" s="37"/>
      <c r="B42" s="273" t="s">
        <v>255</v>
      </c>
      <c r="C42" s="70"/>
      <c r="D42" s="271"/>
      <c r="E42" s="273" t="s">
        <v>255</v>
      </c>
      <c r="F42" s="70"/>
      <c r="G42" s="70"/>
      <c r="H42" s="273" t="s">
        <v>255</v>
      </c>
      <c r="I42" s="70"/>
      <c r="J42" s="70"/>
    </row>
    <row r="43" spans="1:15" ht="21" customHeight="1">
      <c r="A43" s="37"/>
      <c r="B43" s="268"/>
      <c r="C43" s="70"/>
      <c r="D43" s="271"/>
      <c r="E43" s="70"/>
      <c r="F43" s="70"/>
      <c r="G43" s="70"/>
      <c r="H43" s="268"/>
      <c r="I43" s="70"/>
      <c r="J43" s="70"/>
    </row>
    <row r="44" spans="1:15" ht="21" customHeight="1">
      <c r="B44" s="268"/>
      <c r="C44" s="70"/>
      <c r="D44" s="271"/>
      <c r="E44" s="70"/>
      <c r="F44" s="70"/>
      <c r="G44" s="70"/>
      <c r="H44" s="268"/>
      <c r="I44" s="70"/>
      <c r="J44" s="70"/>
    </row>
    <row r="45" spans="1:15" ht="21" customHeight="1">
      <c r="B45" s="269" t="s">
        <v>253</v>
      </c>
      <c r="C45" s="72">
        <f>B38</f>
        <v>23065.487034265407</v>
      </c>
      <c r="D45" s="271"/>
      <c r="E45" s="71" t="s">
        <v>253</v>
      </c>
      <c r="F45" s="72">
        <f>E38</f>
        <v>34985.083111465043</v>
      </c>
      <c r="G45" s="70"/>
      <c r="H45" s="269" t="s">
        <v>253</v>
      </c>
      <c r="I45" s="72">
        <f>H38</f>
        <v>36526.84421124147</v>
      </c>
      <c r="J45" s="70"/>
    </row>
    <row r="46" spans="1:15" ht="21" customHeight="1">
      <c r="B46" s="270" t="s">
        <v>254</v>
      </c>
      <c r="C46" s="72">
        <f t="shared" ref="C46:C47" si="1">B39</f>
        <v>14727.247675021759</v>
      </c>
      <c r="D46" s="271"/>
      <c r="E46" s="73" t="s">
        <v>254</v>
      </c>
      <c r="F46" s="72">
        <f t="shared" ref="F46:F47" si="2">E39</f>
        <v>17543.933057475606</v>
      </c>
      <c r="G46" s="70"/>
      <c r="H46" s="270" t="s">
        <v>254</v>
      </c>
      <c r="I46" s="72">
        <f t="shared" ref="I46:I47" si="3">H39</f>
        <v>24789.892747093316</v>
      </c>
      <c r="J46" s="70"/>
    </row>
    <row r="47" spans="1:15" ht="21" customHeight="1">
      <c r="B47" s="270" t="s">
        <v>61</v>
      </c>
      <c r="C47" s="72">
        <f t="shared" si="1"/>
        <v>19531.926383452257</v>
      </c>
      <c r="D47" s="271"/>
      <c r="E47" s="73" t="s">
        <v>61</v>
      </c>
      <c r="F47" s="72">
        <f t="shared" si="2"/>
        <v>26869.022891279095</v>
      </c>
      <c r="G47" s="70"/>
      <c r="H47" s="270" t="s">
        <v>61</v>
      </c>
      <c r="I47" s="72">
        <f t="shared" si="3"/>
        <v>30272.387826670165</v>
      </c>
      <c r="J47" s="70"/>
    </row>
    <row r="48" spans="1:15" ht="21" customHeight="1">
      <c r="B48" s="268"/>
      <c r="C48" s="70"/>
      <c r="D48" s="271"/>
      <c r="E48" s="70"/>
      <c r="F48" s="70"/>
      <c r="G48" s="70"/>
      <c r="H48" s="268"/>
      <c r="I48" s="70"/>
      <c r="J48" s="70"/>
    </row>
    <row r="49" spans="1:10" ht="21" customHeight="1">
      <c r="B49" s="268"/>
      <c r="C49" s="70"/>
      <c r="D49" s="271"/>
      <c r="E49" s="70"/>
      <c r="F49" s="70"/>
      <c r="G49" s="70"/>
      <c r="H49" s="268"/>
      <c r="I49" s="70"/>
      <c r="J49" s="70"/>
    </row>
    <row r="50" spans="1:10" ht="21" customHeight="1">
      <c r="B50" s="268"/>
      <c r="C50" s="70"/>
      <c r="D50" s="271"/>
      <c r="E50" s="70"/>
      <c r="F50" s="70"/>
      <c r="G50" s="70"/>
      <c r="H50" s="268"/>
      <c r="I50" s="70"/>
      <c r="J50" s="70"/>
    </row>
    <row r="51" spans="1:10" ht="21" customHeight="1">
      <c r="B51" s="366"/>
      <c r="D51" s="367"/>
      <c r="H51" s="366"/>
    </row>
    <row r="52" spans="1:10" ht="12.75" customHeight="1">
      <c r="A52" s="272"/>
      <c r="B52" s="257"/>
      <c r="C52" s="257"/>
      <c r="D52" s="272"/>
      <c r="E52" s="257"/>
      <c r="F52" s="257"/>
      <c r="G52" s="272"/>
      <c r="H52" s="257"/>
      <c r="I52" s="257"/>
      <c r="J52" s="257"/>
    </row>
    <row r="53" spans="1:10" ht="13" customHeight="1">
      <c r="A53" s="365" t="s">
        <v>176</v>
      </c>
      <c r="B53" s="260">
        <v>681.27650466981197</v>
      </c>
      <c r="C53" s="261">
        <v>7529.5980215265981</v>
      </c>
      <c r="D53" s="265" t="s">
        <v>200</v>
      </c>
      <c r="E53" s="261">
        <v>1393.6428103468818</v>
      </c>
      <c r="F53" s="261">
        <v>15344.763781770102</v>
      </c>
      <c r="G53" s="262" t="s">
        <v>200</v>
      </c>
      <c r="H53" s="260">
        <v>1112.2341296726463</v>
      </c>
      <c r="I53" s="261">
        <v>12213.675174838285</v>
      </c>
      <c r="J53" s="262" t="s">
        <v>200</v>
      </c>
    </row>
    <row r="54" spans="1:10" ht="13" customHeight="1">
      <c r="A54" s="255" t="s">
        <v>177</v>
      </c>
      <c r="B54" s="263">
        <v>23977.244920234742</v>
      </c>
      <c r="C54" s="74">
        <v>265001.08938962809</v>
      </c>
      <c r="D54" s="266">
        <v>0</v>
      </c>
      <c r="E54" s="74">
        <v>31899.559052689594</v>
      </c>
      <c r="F54" s="74">
        <v>351231.45957629703</v>
      </c>
      <c r="G54" s="232">
        <v>0</v>
      </c>
      <c r="H54" s="263">
        <v>32572.944917315908</v>
      </c>
      <c r="I54" s="74">
        <v>357690.30826727772</v>
      </c>
      <c r="J54" s="232">
        <v>0</v>
      </c>
    </row>
    <row r="55" spans="1:10" ht="13" customHeight="1">
      <c r="A55" s="256" t="s">
        <v>178</v>
      </c>
      <c r="B55" s="264">
        <v>32152.562976272486</v>
      </c>
      <c r="C55" s="258">
        <v>355356.26564794721</v>
      </c>
      <c r="D55" s="267">
        <v>-12</v>
      </c>
      <c r="E55" s="258">
        <v>48623.272776852173</v>
      </c>
      <c r="F55" s="258">
        <v>535368.62495753821</v>
      </c>
      <c r="G55" s="259">
        <v>-12</v>
      </c>
      <c r="H55" s="264">
        <v>45919.754473387664</v>
      </c>
      <c r="I55" s="258">
        <v>504254.4103653371</v>
      </c>
      <c r="J55" s="259">
        <v>-12</v>
      </c>
    </row>
  </sheetData>
  <mergeCells count="10">
    <mergeCell ref="B41:D41"/>
    <mergeCell ref="E41:G41"/>
    <mergeCell ref="H41:J41"/>
    <mergeCell ref="A1:J1"/>
    <mergeCell ref="E3:G3"/>
    <mergeCell ref="H3:J3"/>
    <mergeCell ref="B3:D3"/>
    <mergeCell ref="B4:C4"/>
    <mergeCell ref="E4:F4"/>
    <mergeCell ref="H4:I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D37:D39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3"/>
  <dimension ref="A1:U93"/>
  <sheetViews>
    <sheetView showGridLines="0" topLeftCell="A31" zoomScaleNormal="100" zoomScaleSheetLayoutView="100" workbookViewId="0">
      <selection activeCell="G1" sqref="G1"/>
    </sheetView>
  </sheetViews>
  <sheetFormatPr defaultColWidth="9.1796875" defaultRowHeight="12.5"/>
  <cols>
    <col min="1" max="1" width="9.453125" style="67" customWidth="1"/>
    <col min="2" max="2" width="3.81640625" style="67" customWidth="1"/>
    <col min="3" max="11" width="9.54296875" style="67" customWidth="1"/>
    <col min="12" max="12" width="9.1796875" style="75"/>
    <col min="13" max="13" width="9.1796875" style="67"/>
    <col min="14" max="14" width="11.1796875" style="67" customWidth="1"/>
    <col min="15" max="16384" width="9.1796875" style="67"/>
  </cols>
  <sheetData>
    <row r="1" spans="1:21" ht="20">
      <c r="A1" s="47" t="s">
        <v>275</v>
      </c>
    </row>
    <row r="2" spans="1:21" s="76" customFormat="1" ht="18">
      <c r="A2" s="437" t="s">
        <v>283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75"/>
      <c r="M2" s="67"/>
      <c r="N2" s="67"/>
      <c r="O2" s="67"/>
      <c r="P2" s="67"/>
      <c r="Q2" s="67"/>
      <c r="R2" s="67"/>
      <c r="S2" s="67"/>
      <c r="T2" s="67"/>
      <c r="U2" s="67"/>
    </row>
    <row r="3" spans="1:21" ht="6" customHeight="1">
      <c r="A3" s="452"/>
      <c r="B3" s="452"/>
      <c r="C3" s="452"/>
      <c r="D3" s="290"/>
      <c r="E3" s="290"/>
      <c r="F3" s="291"/>
      <c r="G3" s="292"/>
      <c r="H3" s="292"/>
      <c r="I3" s="292"/>
      <c r="J3" s="257"/>
      <c r="K3" s="257"/>
    </row>
    <row r="4" spans="1:21" ht="15" customHeight="1">
      <c r="A4" s="463" t="s">
        <v>2</v>
      </c>
      <c r="B4" s="463"/>
      <c r="C4" s="463"/>
      <c r="D4" s="457">
        <f>'3.1'!A4</f>
        <v>2025</v>
      </c>
      <c r="E4" s="458"/>
      <c r="F4" s="458"/>
      <c r="G4" s="458"/>
      <c r="H4" s="350"/>
      <c r="I4" s="457">
        <f>D4-1</f>
        <v>2024</v>
      </c>
      <c r="J4" s="458"/>
      <c r="K4" s="458"/>
    </row>
    <row r="5" spans="1:21" ht="50.15" customHeight="1">
      <c r="A5" s="297"/>
      <c r="B5" s="297"/>
      <c r="C5" s="297"/>
      <c r="D5" s="459"/>
      <c r="E5" s="460"/>
      <c r="F5" s="460"/>
      <c r="G5" s="460"/>
      <c r="H5" s="157"/>
      <c r="I5" s="459"/>
      <c r="J5" s="460"/>
      <c r="K5" s="460"/>
    </row>
    <row r="6" spans="1:21" ht="25" customHeight="1">
      <c r="A6" s="463" t="s">
        <v>155</v>
      </c>
      <c r="B6" s="463"/>
      <c r="C6" s="463" t="s">
        <v>180</v>
      </c>
      <c r="D6" s="461" t="s">
        <v>156</v>
      </c>
      <c r="E6" s="455" t="s">
        <v>59</v>
      </c>
      <c r="F6" s="455"/>
      <c r="G6" s="456" t="s">
        <v>32</v>
      </c>
      <c r="H6" s="456" t="s">
        <v>256</v>
      </c>
      <c r="I6" s="453" t="s">
        <v>59</v>
      </c>
      <c r="J6" s="454"/>
      <c r="K6" s="456" t="s">
        <v>32</v>
      </c>
    </row>
    <row r="7" spans="1:21" ht="22.5" customHeight="1">
      <c r="A7" s="464"/>
      <c r="B7" s="464"/>
      <c r="C7" s="464"/>
      <c r="D7" s="462"/>
      <c r="E7" s="201" t="s">
        <v>247</v>
      </c>
      <c r="F7" s="201" t="s">
        <v>248</v>
      </c>
      <c r="G7" s="442"/>
      <c r="H7" s="442"/>
      <c r="I7" s="203" t="s">
        <v>247</v>
      </c>
      <c r="J7" s="201" t="s">
        <v>248</v>
      </c>
      <c r="K7" s="442"/>
    </row>
    <row r="8" spans="1:21" ht="13" customHeight="1">
      <c r="A8" s="447" t="str">
        <f>'3.1'!D5</f>
        <v>Říjen</v>
      </c>
      <c r="B8" s="447"/>
      <c r="C8" s="147" t="s">
        <v>4</v>
      </c>
      <c r="D8" s="287">
        <v>1523</v>
      </c>
      <c r="E8" s="283">
        <v>282067.42076336092</v>
      </c>
      <c r="F8" s="283">
        <v>3116914.9852100001</v>
      </c>
      <c r="G8" s="284">
        <f t="shared" ref="G8:G13" si="0">E8/$E$14</f>
        <v>0.46585005893690945</v>
      </c>
      <c r="H8" s="284">
        <f>(E8-I8)/I8</f>
        <v>-5.6269256796374449E-3</v>
      </c>
      <c r="I8" s="287">
        <v>283663.574615744</v>
      </c>
      <c r="J8" s="283">
        <v>3106178.6017149999</v>
      </c>
      <c r="K8" s="284">
        <f>I8/$I$14</f>
        <v>0.51093824888148898</v>
      </c>
      <c r="M8" s="360"/>
      <c r="N8" s="360"/>
      <c r="O8" s="360"/>
      <c r="P8" s="360"/>
      <c r="Q8" s="360"/>
      <c r="R8" s="360"/>
      <c r="S8" s="360"/>
      <c r="T8" s="360"/>
      <c r="U8" s="360"/>
    </row>
    <row r="9" spans="1:21" ht="13" customHeight="1">
      <c r="A9" s="448"/>
      <c r="B9" s="448"/>
      <c r="C9" s="137" t="s">
        <v>5</v>
      </c>
      <c r="D9" s="288">
        <v>5629</v>
      </c>
      <c r="E9" s="113">
        <v>59964.980910245999</v>
      </c>
      <c r="F9" s="113">
        <v>662915.47527900001</v>
      </c>
      <c r="G9" s="282">
        <f t="shared" si="0"/>
        <v>9.9035506530987916E-2</v>
      </c>
      <c r="H9" s="282">
        <f t="shared" ref="H9:H12" si="1">(E9-I9)/I9</f>
        <v>0.13138765213819312</v>
      </c>
      <c r="I9" s="288">
        <v>53001.268660586007</v>
      </c>
      <c r="J9" s="113">
        <v>580419.313035</v>
      </c>
      <c r="K9" s="282">
        <f t="shared" ref="K9:K13" si="2">I9/$I$14</f>
        <v>9.5466523802433007E-2</v>
      </c>
      <c r="L9" s="80"/>
      <c r="M9" s="360"/>
      <c r="N9" s="360"/>
      <c r="O9" s="360"/>
      <c r="P9" s="360"/>
      <c r="Q9" s="360"/>
      <c r="R9" s="360"/>
      <c r="S9" s="360"/>
      <c r="T9" s="360"/>
      <c r="U9" s="360"/>
    </row>
    <row r="10" spans="1:21" ht="13" customHeight="1">
      <c r="A10" s="448"/>
      <c r="B10" s="448"/>
      <c r="C10" s="137" t="s">
        <v>6</v>
      </c>
      <c r="D10" s="288">
        <v>200630</v>
      </c>
      <c r="E10" s="113">
        <v>90173.53803376999</v>
      </c>
      <c r="F10" s="113">
        <v>996803.30539922393</v>
      </c>
      <c r="G10" s="282">
        <f t="shared" si="0"/>
        <v>0.14892662149317576</v>
      </c>
      <c r="H10" s="282">
        <f t="shared" si="1"/>
        <v>0.18681055275151634</v>
      </c>
      <c r="I10" s="288">
        <v>75979.723827623995</v>
      </c>
      <c r="J10" s="113">
        <v>831951.87091883097</v>
      </c>
      <c r="K10" s="282">
        <f t="shared" si="2"/>
        <v>0.1368555941508279</v>
      </c>
      <c r="L10" s="80"/>
      <c r="M10" s="360"/>
      <c r="N10" s="360"/>
      <c r="O10" s="360"/>
      <c r="P10" s="360"/>
      <c r="Q10" s="360"/>
      <c r="R10" s="360"/>
      <c r="S10" s="360"/>
      <c r="T10" s="360"/>
      <c r="U10" s="360"/>
    </row>
    <row r="11" spans="1:21" ht="13" customHeight="1">
      <c r="A11" s="448"/>
      <c r="B11" s="448"/>
      <c r="C11" s="137" t="s">
        <v>7</v>
      </c>
      <c r="D11" s="288">
        <v>2496758</v>
      </c>
      <c r="E11" s="113">
        <v>158763.71948071101</v>
      </c>
      <c r="F11" s="113">
        <v>1754889.2074479291</v>
      </c>
      <c r="G11" s="282">
        <f t="shared" si="0"/>
        <v>0.262207127207295</v>
      </c>
      <c r="H11" s="282">
        <f t="shared" si="1"/>
        <v>0.22813296067517716</v>
      </c>
      <c r="I11" s="288">
        <v>129272.41965188298</v>
      </c>
      <c r="J11" s="113">
        <v>1415652.9937460921</v>
      </c>
      <c r="K11" s="282">
        <f t="shared" si="2"/>
        <v>0.23284704007230733</v>
      </c>
      <c r="L11" s="80"/>
      <c r="M11" s="360"/>
      <c r="N11" s="360"/>
      <c r="O11" s="360"/>
      <c r="P11" s="360"/>
      <c r="Q11" s="360"/>
      <c r="R11" s="360"/>
      <c r="S11" s="360"/>
      <c r="T11" s="360"/>
      <c r="U11" s="360"/>
    </row>
    <row r="12" spans="1:21" ht="13" customHeight="1">
      <c r="A12" s="448"/>
      <c r="B12" s="448"/>
      <c r="C12" s="137" t="s">
        <v>90</v>
      </c>
      <c r="D12" s="288">
        <v>283</v>
      </c>
      <c r="E12" s="113">
        <v>7741.9846574459998</v>
      </c>
      <c r="F12" s="113">
        <v>85555.46886600001</v>
      </c>
      <c r="G12" s="282">
        <f t="shared" si="0"/>
        <v>1.2786318955940715E-2</v>
      </c>
      <c r="H12" s="282">
        <f t="shared" si="1"/>
        <v>-3.5426843962890288E-2</v>
      </c>
      <c r="I12" s="288">
        <v>8026.3322786769995</v>
      </c>
      <c r="J12" s="113">
        <v>87860.087651999987</v>
      </c>
      <c r="K12" s="282">
        <f t="shared" si="2"/>
        <v>1.4457126421548607E-2</v>
      </c>
      <c r="L12" s="80"/>
      <c r="M12" s="360"/>
      <c r="N12" s="360"/>
      <c r="O12" s="360"/>
      <c r="P12" s="360"/>
      <c r="Q12" s="360"/>
      <c r="R12" s="360"/>
      <c r="S12" s="360"/>
      <c r="T12" s="360"/>
      <c r="U12" s="360"/>
    </row>
    <row r="13" spans="1:21" ht="13" customHeight="1">
      <c r="A13" s="448"/>
      <c r="B13" s="448"/>
      <c r="C13" s="137" t="s">
        <v>91</v>
      </c>
      <c r="D13" s="288"/>
      <c r="E13" s="113">
        <v>6778.0740414860011</v>
      </c>
      <c r="F13" s="113">
        <v>74909.540072999996</v>
      </c>
      <c r="G13" s="282">
        <f t="shared" si="0"/>
        <v>1.1194366875691093E-2</v>
      </c>
      <c r="H13" s="282">
        <f>(E13-I13)/I13</f>
        <v>0.29392101819585331</v>
      </c>
      <c r="I13" s="288">
        <v>5238.3985932439991</v>
      </c>
      <c r="J13" s="113">
        <v>57530.277567369005</v>
      </c>
      <c r="K13" s="282">
        <f t="shared" si="2"/>
        <v>9.4354666713940237E-3</v>
      </c>
      <c r="L13" s="80"/>
      <c r="M13" s="360"/>
      <c r="N13" s="360"/>
      <c r="O13" s="360"/>
      <c r="P13" s="360"/>
      <c r="Q13" s="360"/>
      <c r="R13" s="360"/>
      <c r="S13" s="360"/>
      <c r="T13" s="360"/>
      <c r="U13" s="360"/>
    </row>
    <row r="14" spans="1:21" ht="13" customHeight="1">
      <c r="A14" s="449"/>
      <c r="B14" s="449"/>
      <c r="C14" s="293" t="s">
        <v>0</v>
      </c>
      <c r="D14" s="296">
        <v>2704823</v>
      </c>
      <c r="E14" s="294">
        <v>605489.71788701997</v>
      </c>
      <c r="F14" s="294">
        <v>6691987.9822751535</v>
      </c>
      <c r="G14" s="295">
        <f>SUM(G8:G13)</f>
        <v>1</v>
      </c>
      <c r="H14" s="295">
        <f>(E14-I14)/I14</f>
        <v>9.0615376302777995E-2</v>
      </c>
      <c r="I14" s="296">
        <v>555181.71762775804</v>
      </c>
      <c r="J14" s="294">
        <v>6079593.1446342925</v>
      </c>
      <c r="K14" s="295">
        <f>SUM(K8:K13)</f>
        <v>0.99999999999999989</v>
      </c>
      <c r="L14" s="80"/>
      <c r="M14" s="360"/>
      <c r="N14" s="360"/>
      <c r="O14" s="360"/>
      <c r="P14" s="360"/>
      <c r="Q14" s="360"/>
      <c r="R14" s="360"/>
      <c r="S14" s="360"/>
      <c r="T14" s="360"/>
      <c r="U14" s="360"/>
    </row>
    <row r="15" spans="1:21" ht="13" customHeight="1">
      <c r="A15" s="447" t="str">
        <f>'3.1'!E5</f>
        <v>Listopad</v>
      </c>
      <c r="B15" s="447"/>
      <c r="C15" s="147" t="s">
        <v>4</v>
      </c>
      <c r="D15" s="287">
        <v>1520</v>
      </c>
      <c r="E15" s="283">
        <v>313534.33930126601</v>
      </c>
      <c r="F15" s="283">
        <v>3451651.3985239998</v>
      </c>
      <c r="G15" s="284">
        <f>E15/$E$21</f>
        <v>0.3889663083642565</v>
      </c>
      <c r="H15" s="284">
        <f>(E15-I15)/I15</f>
        <v>-0.16043170065180579</v>
      </c>
      <c r="I15" s="287">
        <v>373447.09125473292</v>
      </c>
      <c r="J15" s="283">
        <v>4076068.6381399999</v>
      </c>
      <c r="K15" s="284">
        <f>I15/$I$21</f>
        <v>0.43149266057179253</v>
      </c>
      <c r="L15" s="80"/>
      <c r="M15" s="360"/>
      <c r="N15" s="360"/>
      <c r="O15" s="360"/>
      <c r="P15" s="360"/>
      <c r="Q15" s="360"/>
      <c r="R15" s="360"/>
      <c r="S15" s="360"/>
      <c r="T15" s="360"/>
      <c r="U15" s="360"/>
    </row>
    <row r="16" spans="1:21" ht="13" customHeight="1">
      <c r="A16" s="448"/>
      <c r="B16" s="448"/>
      <c r="C16" s="137" t="s">
        <v>5</v>
      </c>
      <c r="D16" s="288">
        <v>5630</v>
      </c>
      <c r="E16" s="113">
        <v>82247.618059550005</v>
      </c>
      <c r="F16" s="113">
        <v>905701.79970500001</v>
      </c>
      <c r="G16" s="282">
        <f t="shared" ref="G16:G20" si="3">E16/$E$21</f>
        <v>0.10203524258195135</v>
      </c>
      <c r="H16" s="282">
        <f t="shared" ref="H16:H18" si="4">(E16-I16)/I16</f>
        <v>5.1020298867076085E-3</v>
      </c>
      <c r="I16" s="288">
        <v>81830.118350094999</v>
      </c>
      <c r="J16" s="113">
        <v>893193.25397700001</v>
      </c>
      <c r="K16" s="282">
        <f t="shared" ref="K16:K20" si="5">I16/$I$21</f>
        <v>9.4549124383733321E-2</v>
      </c>
      <c r="L16" s="81"/>
      <c r="M16" s="360"/>
      <c r="N16" s="360"/>
      <c r="O16" s="360"/>
      <c r="P16" s="360"/>
      <c r="Q16" s="360"/>
      <c r="R16" s="360"/>
      <c r="S16" s="360"/>
      <c r="T16" s="360"/>
      <c r="U16" s="360"/>
    </row>
    <row r="17" spans="1:21" ht="13" customHeight="1">
      <c r="A17" s="448"/>
      <c r="B17" s="448"/>
      <c r="C17" s="137" t="s">
        <v>6</v>
      </c>
      <c r="D17" s="288">
        <v>200666</v>
      </c>
      <c r="E17" s="113">
        <v>140893.47392199701</v>
      </c>
      <c r="F17" s="113">
        <v>1551438.212438439</v>
      </c>
      <c r="G17" s="282">
        <f t="shared" si="3"/>
        <v>0.17479046966972378</v>
      </c>
      <c r="H17" s="282">
        <f t="shared" si="4"/>
        <v>-1.047810828031657E-2</v>
      </c>
      <c r="I17" s="288">
        <v>142385.40359843802</v>
      </c>
      <c r="J17" s="113">
        <v>1554110.822940273</v>
      </c>
      <c r="K17" s="282">
        <f>I17/$I$21</f>
        <v>0.16451662916654156</v>
      </c>
      <c r="L17" s="80"/>
      <c r="M17" s="360"/>
      <c r="N17" s="360"/>
      <c r="O17" s="360"/>
      <c r="P17" s="360"/>
      <c r="Q17" s="360"/>
      <c r="R17" s="360"/>
      <c r="S17" s="360"/>
      <c r="T17" s="360"/>
      <c r="U17" s="360"/>
    </row>
    <row r="18" spans="1:21" ht="13" customHeight="1">
      <c r="A18" s="448"/>
      <c r="B18" s="448"/>
      <c r="C18" s="137" t="s">
        <v>7</v>
      </c>
      <c r="D18" s="288">
        <v>2495869</v>
      </c>
      <c r="E18" s="113">
        <v>249149.59084831705</v>
      </c>
      <c r="F18" s="113">
        <v>2743372.2284366298</v>
      </c>
      <c r="G18" s="282">
        <f t="shared" si="3"/>
        <v>0.3090914915371234</v>
      </c>
      <c r="H18" s="282">
        <f t="shared" si="4"/>
        <v>-2.775722281414737E-3</v>
      </c>
      <c r="I18" s="288">
        <v>249843.08586861999</v>
      </c>
      <c r="J18" s="113">
        <v>2727120.1299647531</v>
      </c>
      <c r="K18" s="282">
        <f>I18/$I$21</f>
        <v>0.28867665693875283</v>
      </c>
      <c r="L18" s="80"/>
      <c r="M18" s="360"/>
      <c r="N18" s="360"/>
      <c r="O18" s="360"/>
      <c r="P18" s="360"/>
      <c r="Q18" s="360"/>
      <c r="R18" s="360"/>
      <c r="S18" s="360"/>
      <c r="T18" s="360"/>
      <c r="U18" s="360"/>
    </row>
    <row r="19" spans="1:21" ht="13" customHeight="1">
      <c r="A19" s="448"/>
      <c r="B19" s="448"/>
      <c r="C19" s="137" t="s">
        <v>90</v>
      </c>
      <c r="D19" s="288">
        <v>283</v>
      </c>
      <c r="E19" s="113">
        <v>7650.5013911639999</v>
      </c>
      <c r="F19" s="113">
        <v>84219.99867999999</v>
      </c>
      <c r="G19" s="282">
        <f t="shared" si="3"/>
        <v>9.4911048336473354E-3</v>
      </c>
      <c r="H19" s="282">
        <f>(E19-I19)/I19</f>
        <v>-3.84612981416141E-2</v>
      </c>
      <c r="I19" s="288">
        <v>7956.5194582159993</v>
      </c>
      <c r="J19" s="113">
        <v>86818.217014999973</v>
      </c>
      <c r="K19" s="282">
        <f>I19/$I$21</f>
        <v>9.1932159342353638E-3</v>
      </c>
      <c r="L19" s="80"/>
      <c r="M19" s="360"/>
      <c r="N19" s="360"/>
      <c r="O19" s="360"/>
      <c r="P19" s="360"/>
      <c r="Q19" s="360"/>
      <c r="R19" s="360"/>
      <c r="S19" s="360"/>
      <c r="T19" s="360"/>
      <c r="U19" s="360"/>
    </row>
    <row r="20" spans="1:21" ht="13" customHeight="1">
      <c r="A20" s="448"/>
      <c r="B20" s="448"/>
      <c r="C20" s="137" t="s">
        <v>91</v>
      </c>
      <c r="D20" s="288"/>
      <c r="E20" s="113">
        <v>12595.163216078998</v>
      </c>
      <c r="F20" s="113">
        <v>138892.14133099999</v>
      </c>
      <c r="G20" s="282">
        <f t="shared" si="3"/>
        <v>1.5625383013297717E-2</v>
      </c>
      <c r="H20" s="282">
        <f t="shared" ref="H20" si="6">(E20-I20)/I20</f>
        <v>0.25762301830043671</v>
      </c>
      <c r="I20" s="288">
        <v>10015.054617161999</v>
      </c>
      <c r="J20" s="113">
        <v>109509.82473800001</v>
      </c>
      <c r="K20" s="282">
        <f t="shared" si="5"/>
        <v>1.1571713004944386E-2</v>
      </c>
      <c r="L20" s="80"/>
      <c r="M20" s="360"/>
      <c r="N20" s="360"/>
      <c r="O20" s="360"/>
      <c r="P20" s="360"/>
      <c r="Q20" s="360"/>
      <c r="R20" s="360"/>
      <c r="S20" s="360"/>
      <c r="T20" s="360"/>
      <c r="U20" s="360"/>
    </row>
    <row r="21" spans="1:21" ht="13" customHeight="1">
      <c r="A21" s="449"/>
      <c r="B21" s="449"/>
      <c r="C21" s="293" t="s">
        <v>0</v>
      </c>
      <c r="D21" s="296">
        <v>2703968</v>
      </c>
      <c r="E21" s="294">
        <v>806070.68673837301</v>
      </c>
      <c r="F21" s="294">
        <v>8875275.7791150678</v>
      </c>
      <c r="G21" s="295">
        <f>SUM(G15:G20)</f>
        <v>1</v>
      </c>
      <c r="H21" s="295">
        <f>(E21-I21)/I21</f>
        <v>-6.8640261566732863E-2</v>
      </c>
      <c r="I21" s="296">
        <v>865477.27314726391</v>
      </c>
      <c r="J21" s="294">
        <v>9446820.8867750261</v>
      </c>
      <c r="K21" s="295">
        <f>SUM(K15:K20)</f>
        <v>1</v>
      </c>
      <c r="L21" s="80"/>
      <c r="M21" s="360"/>
      <c r="N21" s="360"/>
      <c r="O21" s="360"/>
      <c r="P21" s="360"/>
      <c r="Q21" s="360"/>
      <c r="R21" s="360"/>
      <c r="S21" s="360"/>
      <c r="T21" s="360"/>
      <c r="U21" s="360"/>
    </row>
    <row r="22" spans="1:21" ht="13" customHeight="1">
      <c r="A22" s="447" t="str">
        <f>'3.1'!F5</f>
        <v>Prosinec</v>
      </c>
      <c r="B22" s="447"/>
      <c r="C22" s="147" t="s">
        <v>4</v>
      </c>
      <c r="D22" s="287">
        <v>1520</v>
      </c>
      <c r="E22" s="283">
        <v>349534.96076420101</v>
      </c>
      <c r="F22" s="283">
        <v>3837968.3075640001</v>
      </c>
      <c r="G22" s="284">
        <f>E22/$E$28</f>
        <v>0.3724622373878807</v>
      </c>
      <c r="H22" s="284">
        <f>(E22-I22)/I22</f>
        <v>1.1426896214658569E-2</v>
      </c>
      <c r="I22" s="287">
        <v>345585.9855738086</v>
      </c>
      <c r="J22" s="283">
        <v>3762171.7710469998</v>
      </c>
      <c r="K22" s="284">
        <f>I22/$I$28</f>
        <v>0.36406456665661441</v>
      </c>
      <c r="L22" s="82"/>
      <c r="M22" s="360"/>
      <c r="N22" s="360"/>
      <c r="O22" s="360"/>
      <c r="P22" s="360"/>
      <c r="Q22" s="360"/>
      <c r="R22" s="360"/>
      <c r="S22" s="360"/>
      <c r="T22" s="360"/>
      <c r="U22" s="360"/>
    </row>
    <row r="23" spans="1:21" ht="13" customHeight="1">
      <c r="A23" s="448"/>
      <c r="B23" s="448"/>
      <c r="C23" s="137" t="s">
        <v>5</v>
      </c>
      <c r="D23" s="288">
        <v>5635</v>
      </c>
      <c r="E23" s="113">
        <v>88991.860134393995</v>
      </c>
      <c r="F23" s="113">
        <v>977442.76330200012</v>
      </c>
      <c r="G23" s="282">
        <f t="shared" ref="G23:G27" si="7">E23/$E$28</f>
        <v>9.4829161759662592E-2</v>
      </c>
      <c r="H23" s="282">
        <f t="shared" ref="H23:H26" si="8">(E23-I23)/I23</f>
        <v>-2.1305253633343398E-2</v>
      </c>
      <c r="I23" s="288">
        <v>90929.128274950635</v>
      </c>
      <c r="J23" s="113">
        <v>989976.28710900003</v>
      </c>
      <c r="K23" s="282">
        <f t="shared" ref="K23:K27" si="9">I23/$I$28</f>
        <v>9.5791134663397393E-2</v>
      </c>
      <c r="L23" s="82"/>
      <c r="M23" s="360"/>
      <c r="N23" s="360"/>
      <c r="O23" s="360"/>
      <c r="P23" s="360"/>
      <c r="Q23" s="360"/>
      <c r="R23" s="360"/>
      <c r="S23" s="360"/>
      <c r="T23" s="360"/>
      <c r="U23" s="360"/>
    </row>
    <row r="24" spans="1:21" ht="13" customHeight="1">
      <c r="A24" s="448"/>
      <c r="B24" s="448"/>
      <c r="C24" s="137" t="s">
        <v>6</v>
      </c>
      <c r="D24" s="288">
        <v>200711</v>
      </c>
      <c r="E24" s="113">
        <v>170233.02666705599</v>
      </c>
      <c r="F24" s="113">
        <v>1869551.2093064692</v>
      </c>
      <c r="G24" s="282">
        <f t="shared" si="7"/>
        <v>0.18139923357336549</v>
      </c>
      <c r="H24" s="282">
        <f t="shared" si="8"/>
        <v>-1.5331467494165092E-2</v>
      </c>
      <c r="I24" s="288">
        <v>172883.58574213626</v>
      </c>
      <c r="J24" s="113">
        <v>1882349.103139733</v>
      </c>
      <c r="K24" s="282">
        <f t="shared" si="9"/>
        <v>0.18212772031465926</v>
      </c>
      <c r="L24" s="82"/>
      <c r="M24" s="360"/>
      <c r="N24" s="360"/>
      <c r="O24" s="360"/>
      <c r="P24" s="360"/>
      <c r="Q24" s="360"/>
      <c r="R24" s="360"/>
      <c r="S24" s="360"/>
      <c r="T24" s="360"/>
      <c r="U24" s="360"/>
    </row>
    <row r="25" spans="1:21" ht="13" customHeight="1">
      <c r="A25" s="448"/>
      <c r="B25" s="448"/>
      <c r="C25" s="137" t="s">
        <v>7</v>
      </c>
      <c r="D25" s="288">
        <v>2494252</v>
      </c>
      <c r="E25" s="113">
        <v>305615.55775960704</v>
      </c>
      <c r="F25" s="113">
        <v>3355920.8381655933</v>
      </c>
      <c r="G25" s="282">
        <f t="shared" si="7"/>
        <v>0.32566200008953922</v>
      </c>
      <c r="H25" s="282">
        <f t="shared" si="8"/>
        <v>-2.5787767455049071E-2</v>
      </c>
      <c r="I25" s="288">
        <v>313705.31753768108</v>
      </c>
      <c r="J25" s="113">
        <v>3415401.9159774007</v>
      </c>
      <c r="K25" s="282">
        <f t="shared" si="9"/>
        <v>0.3304792302199398</v>
      </c>
      <c r="L25" s="82"/>
      <c r="M25" s="360"/>
      <c r="N25" s="360"/>
      <c r="O25" s="360"/>
      <c r="P25" s="360"/>
      <c r="Q25" s="360"/>
      <c r="R25" s="360"/>
      <c r="S25" s="360"/>
      <c r="T25" s="360"/>
      <c r="U25" s="360"/>
    </row>
    <row r="26" spans="1:21" ht="13" customHeight="1">
      <c r="A26" s="448"/>
      <c r="B26" s="448"/>
      <c r="C26" s="137" t="s">
        <v>90</v>
      </c>
      <c r="D26" s="288">
        <v>282</v>
      </c>
      <c r="E26" s="113">
        <v>7238.8522676190014</v>
      </c>
      <c r="F26" s="113">
        <v>79478.744207000011</v>
      </c>
      <c r="G26" s="282">
        <f t="shared" si="7"/>
        <v>7.7136750665023858E-3</v>
      </c>
      <c r="H26" s="282">
        <f t="shared" si="8"/>
        <v>-4.6519259063068988E-2</v>
      </c>
      <c r="I26" s="288">
        <v>7592.0277744737614</v>
      </c>
      <c r="J26" s="113">
        <v>82512.837807999997</v>
      </c>
      <c r="K26" s="282">
        <f t="shared" si="9"/>
        <v>7.9979756620323118E-3</v>
      </c>
      <c r="L26" s="82"/>
      <c r="M26" s="360"/>
      <c r="N26" s="360"/>
      <c r="O26" s="360"/>
      <c r="P26" s="360"/>
      <c r="Q26" s="360"/>
      <c r="R26" s="360"/>
      <c r="S26" s="360"/>
      <c r="T26" s="360"/>
      <c r="U26" s="360"/>
    </row>
    <row r="27" spans="1:21" ht="13" customHeight="1">
      <c r="A27" s="448"/>
      <c r="B27" s="448"/>
      <c r="C27" s="137" t="s">
        <v>91</v>
      </c>
      <c r="D27" s="288"/>
      <c r="E27" s="113">
        <v>16829.766197370001</v>
      </c>
      <c r="F27" s="113">
        <v>184887.87809700004</v>
      </c>
      <c r="G27" s="282">
        <f t="shared" si="7"/>
        <v>1.7933692123049468E-2</v>
      </c>
      <c r="H27" s="282">
        <f t="shared" ref="H27" si="10">(E27-I27)/I27</f>
        <v>-9.2618833859070798E-2</v>
      </c>
      <c r="I27" s="288">
        <v>18547.625656532637</v>
      </c>
      <c r="J27" s="113">
        <v>203356.92649099999</v>
      </c>
      <c r="K27" s="282">
        <f t="shared" si="9"/>
        <v>1.9539372483356923E-2</v>
      </c>
      <c r="L27" s="82"/>
      <c r="M27" s="360"/>
      <c r="N27" s="360"/>
      <c r="O27" s="360"/>
      <c r="P27" s="360"/>
      <c r="Q27" s="360"/>
      <c r="R27" s="360"/>
      <c r="S27" s="360"/>
      <c r="T27" s="360"/>
      <c r="U27" s="360"/>
    </row>
    <row r="28" spans="1:21" ht="13" customHeight="1">
      <c r="A28" s="449"/>
      <c r="B28" s="449"/>
      <c r="C28" s="293" t="s">
        <v>0</v>
      </c>
      <c r="D28" s="296">
        <v>2702400</v>
      </c>
      <c r="E28" s="294">
        <v>938444.02379024716</v>
      </c>
      <c r="F28" s="294">
        <v>10305249.740642063</v>
      </c>
      <c r="G28" s="295">
        <f>SUM(G22:G27)</f>
        <v>0.99999999999999978</v>
      </c>
      <c r="H28" s="295">
        <f>(E28-I28)/I28</f>
        <v>-1.1377106958184184E-2</v>
      </c>
      <c r="I28" s="296">
        <v>949243.67055958288</v>
      </c>
      <c r="J28" s="294">
        <v>10335768.841572134</v>
      </c>
      <c r="K28" s="295">
        <f>SUM(K22:K27)</f>
        <v>1.0000000000000002</v>
      </c>
      <c r="M28" s="360"/>
      <c r="N28" s="360"/>
      <c r="O28" s="360"/>
      <c r="P28" s="360"/>
      <c r="Q28" s="360"/>
      <c r="R28" s="360"/>
      <c r="S28" s="360"/>
      <c r="T28" s="360"/>
      <c r="U28" s="360"/>
    </row>
    <row r="29" spans="1:21" ht="13" customHeight="1">
      <c r="A29" s="450" t="str">
        <f>'3.1'!G5</f>
        <v>IV. čtvrtletí</v>
      </c>
      <c r="B29" s="447"/>
      <c r="C29" s="147" t="s">
        <v>4</v>
      </c>
      <c r="D29" s="287">
        <f>D22</f>
        <v>1520</v>
      </c>
      <c r="E29" s="283">
        <f>E8+E15+E22</f>
        <v>945136.72082882794</v>
      </c>
      <c r="F29" s="283">
        <f>F8+F15+F22</f>
        <v>10406534.691298001</v>
      </c>
      <c r="G29" s="284">
        <f>E29/$E$35</f>
        <v>0.4021850807600536</v>
      </c>
      <c r="H29" s="284">
        <f>(E29-I29)/I29</f>
        <v>-5.7405128991453502E-2</v>
      </c>
      <c r="I29" s="287">
        <f>I8+I15+I22</f>
        <v>1002696.6514442856</v>
      </c>
      <c r="J29" s="283">
        <f>J8+J15+J22</f>
        <v>10944419.010901999</v>
      </c>
      <c r="K29" s="284">
        <f>I29/$I$35</f>
        <v>0.42309613293552722</v>
      </c>
      <c r="M29" s="360"/>
      <c r="N29" s="360"/>
      <c r="O29" s="360"/>
      <c r="P29" s="360"/>
      <c r="Q29" s="360"/>
      <c r="R29" s="360"/>
      <c r="S29" s="360"/>
      <c r="T29" s="360"/>
      <c r="U29" s="360"/>
    </row>
    <row r="30" spans="1:21" ht="13" customHeight="1">
      <c r="A30" s="448"/>
      <c r="B30" s="448"/>
      <c r="C30" s="137" t="s">
        <v>5</v>
      </c>
      <c r="D30" s="288">
        <f t="shared" ref="D30:D33" si="11">D23</f>
        <v>5635</v>
      </c>
      <c r="E30" s="113">
        <f>E9+E16+E23</f>
        <v>231204.45910419</v>
      </c>
      <c r="F30" s="113">
        <f t="shared" ref="F30" si="12">F9+F16+F23</f>
        <v>2546060.038286</v>
      </c>
      <c r="G30" s="282">
        <f t="shared" ref="G30:G34" si="13">E30/$E$35</f>
        <v>9.838469081527082E-2</v>
      </c>
      <c r="H30" s="282">
        <f t="shared" ref="H30:H32" si="14">(E30-I30)/I30</f>
        <v>2.4113799579482235E-2</v>
      </c>
      <c r="I30" s="288">
        <f>I9+I16+I23</f>
        <v>225760.51528563164</v>
      </c>
      <c r="J30" s="113">
        <f t="shared" ref="J30" si="15">J9+J16+J23</f>
        <v>2463588.854121</v>
      </c>
      <c r="K30" s="282">
        <f t="shared" ref="K30:K34" si="16">I30/$I$35</f>
        <v>9.5261513887872171E-2</v>
      </c>
      <c r="M30" s="360"/>
      <c r="N30" s="360"/>
      <c r="O30" s="360"/>
      <c r="P30" s="360"/>
      <c r="Q30" s="360"/>
      <c r="R30" s="360"/>
      <c r="S30" s="360"/>
      <c r="T30" s="360"/>
      <c r="U30" s="360"/>
    </row>
    <row r="31" spans="1:21" ht="13" customHeight="1">
      <c r="A31" s="448"/>
      <c r="B31" s="448"/>
      <c r="C31" s="137" t="s">
        <v>6</v>
      </c>
      <c r="D31" s="288">
        <f t="shared" si="11"/>
        <v>200711</v>
      </c>
      <c r="E31" s="113">
        <f t="shared" ref="E31:F31" si="17">E10+E17+E24</f>
        <v>401300.03862282296</v>
      </c>
      <c r="F31" s="113">
        <f t="shared" si="17"/>
        <v>4417792.7271441324</v>
      </c>
      <c r="G31" s="282">
        <f t="shared" si="13"/>
        <v>0.17076565208576103</v>
      </c>
      <c r="H31" s="282">
        <f t="shared" si="14"/>
        <v>2.5690373198246515E-2</v>
      </c>
      <c r="I31" s="288">
        <f t="shared" ref="I31:J31" si="18">I10+I17+I24</f>
        <v>391248.71316819824</v>
      </c>
      <c r="J31" s="113">
        <f t="shared" si="18"/>
        <v>4268411.796998837</v>
      </c>
      <c r="K31" s="282">
        <f t="shared" si="16"/>
        <v>0.16509062568327915</v>
      </c>
      <c r="M31" s="360"/>
      <c r="N31" s="360"/>
      <c r="O31" s="360"/>
      <c r="P31" s="360"/>
      <c r="Q31" s="360"/>
      <c r="R31" s="360"/>
      <c r="S31" s="360"/>
      <c r="T31" s="360"/>
      <c r="U31" s="360"/>
    </row>
    <row r="32" spans="1:21" ht="13" customHeight="1">
      <c r="A32" s="448"/>
      <c r="B32" s="448"/>
      <c r="C32" s="137" t="s">
        <v>7</v>
      </c>
      <c r="D32" s="288">
        <f t="shared" si="11"/>
        <v>2494252</v>
      </c>
      <c r="E32" s="113">
        <f>E11+E18+E25</f>
        <v>713528.86808863515</v>
      </c>
      <c r="F32" s="113">
        <f t="shared" ref="E32:F34" si="19">F11+F18+F25</f>
        <v>7854182.2740501519</v>
      </c>
      <c r="G32" s="282">
        <f t="shared" si="13"/>
        <v>0.30362873340187374</v>
      </c>
      <c r="H32" s="282">
        <f t="shared" si="14"/>
        <v>2.9889466859618418E-2</v>
      </c>
      <c r="I32" s="288">
        <f>I11+I18+I25</f>
        <v>692820.823058184</v>
      </c>
      <c r="J32" s="113">
        <f t="shared" ref="J32" si="20">J11+J18+J25</f>
        <v>7558175.0396882463</v>
      </c>
      <c r="K32" s="282">
        <f t="shared" si="16"/>
        <v>0.29234146801118988</v>
      </c>
      <c r="M32" s="360"/>
      <c r="N32" s="360"/>
      <c r="O32" s="360"/>
      <c r="P32" s="360"/>
      <c r="Q32" s="360"/>
      <c r="R32" s="360"/>
      <c r="S32" s="360"/>
      <c r="T32" s="360"/>
      <c r="U32" s="360"/>
    </row>
    <row r="33" spans="1:21" ht="13" customHeight="1">
      <c r="A33" s="448"/>
      <c r="B33" s="448"/>
      <c r="C33" s="137" t="s">
        <v>90</v>
      </c>
      <c r="D33" s="288">
        <f t="shared" si="11"/>
        <v>282</v>
      </c>
      <c r="E33" s="113">
        <f>E12+E19+E26</f>
        <v>22631.338316229001</v>
      </c>
      <c r="F33" s="113">
        <f t="shared" si="19"/>
        <v>249254.21175300001</v>
      </c>
      <c r="G33" s="282">
        <f t="shared" si="13"/>
        <v>9.6303385825902126E-3</v>
      </c>
      <c r="H33" s="282">
        <f>(E33-I33)/I33</f>
        <v>-4.0023160868449981E-2</v>
      </c>
      <c r="I33" s="288">
        <f>I12+I19+I26</f>
        <v>23574.879511366758</v>
      </c>
      <c r="J33" s="113">
        <f t="shared" ref="J33" si="21">J12+J19+J26</f>
        <v>257191.14247499994</v>
      </c>
      <c r="K33" s="282">
        <f t="shared" si="16"/>
        <v>9.9476151050400634E-3</v>
      </c>
      <c r="M33" s="360"/>
      <c r="N33" s="360"/>
      <c r="O33" s="360"/>
      <c r="P33" s="360"/>
      <c r="Q33" s="360"/>
      <c r="R33" s="360"/>
      <c r="S33" s="360"/>
      <c r="T33" s="360"/>
      <c r="U33" s="360"/>
    </row>
    <row r="34" spans="1:21" ht="13" customHeight="1">
      <c r="A34" s="448"/>
      <c r="B34" s="448"/>
      <c r="C34" s="137" t="s">
        <v>91</v>
      </c>
      <c r="D34" s="288"/>
      <c r="E34" s="113">
        <f t="shared" si="19"/>
        <v>36203.003454935002</v>
      </c>
      <c r="F34" s="113">
        <f t="shared" si="19"/>
        <v>398689.55950099998</v>
      </c>
      <c r="G34" s="282">
        <f t="shared" si="13"/>
        <v>1.5405504354450457E-2</v>
      </c>
      <c r="H34" s="282">
        <f t="shared" ref="H34" si="22">(E34-I34)/I34</f>
        <v>7.1060589440111732E-2</v>
      </c>
      <c r="I34" s="288">
        <f t="shared" ref="I34:J34" si="23">I13+I20+I27</f>
        <v>33801.078866938638</v>
      </c>
      <c r="J34" s="113">
        <f t="shared" si="23"/>
        <v>370397.02879636898</v>
      </c>
      <c r="K34" s="282">
        <f t="shared" si="16"/>
        <v>1.4262644377091694E-2</v>
      </c>
      <c r="M34" s="360"/>
      <c r="N34" s="360"/>
      <c r="O34" s="360"/>
      <c r="P34" s="360"/>
      <c r="Q34" s="360"/>
      <c r="R34" s="360"/>
      <c r="S34" s="360"/>
      <c r="T34" s="360"/>
      <c r="U34" s="360"/>
    </row>
    <row r="35" spans="1:21" ht="13" customHeight="1">
      <c r="A35" s="449"/>
      <c r="B35" s="449"/>
      <c r="C35" s="293" t="s">
        <v>0</v>
      </c>
      <c r="D35" s="296">
        <f>SUM(D29:D34)</f>
        <v>2702400</v>
      </c>
      <c r="E35" s="294">
        <f>SUM(E29:E34)</f>
        <v>2350004.4284156403</v>
      </c>
      <c r="F35" s="294">
        <f>SUM(F29:F34)</f>
        <v>25872513.502032284</v>
      </c>
      <c r="G35" s="295">
        <f>SUM(G29:G34)</f>
        <v>0.99999999999999989</v>
      </c>
      <c r="H35" s="295">
        <f>(E35-I35)/I35</f>
        <v>-8.396223711466106E-3</v>
      </c>
      <c r="I35" s="296">
        <f>SUM(I29:I34)</f>
        <v>2369902.6613346045</v>
      </c>
      <c r="J35" s="294">
        <f>SUM(J29:J34)</f>
        <v>25862182.872981451</v>
      </c>
      <c r="K35" s="295">
        <f>SUM(K29:K34)</f>
        <v>1.0000000000000002</v>
      </c>
      <c r="M35" s="360"/>
      <c r="N35" s="360"/>
      <c r="O35" s="360"/>
      <c r="P35" s="360"/>
      <c r="Q35" s="360"/>
      <c r="R35" s="360"/>
      <c r="S35" s="360"/>
      <c r="T35" s="360"/>
      <c r="U35" s="360"/>
    </row>
    <row r="36" spans="1:21" ht="20.149999999999999" customHeight="1">
      <c r="A36" s="110"/>
      <c r="B36" s="278"/>
      <c r="C36" s="90"/>
      <c r="D36" s="78"/>
      <c r="E36" s="78"/>
      <c r="F36" s="78"/>
      <c r="G36" s="451" t="s">
        <v>258</v>
      </c>
      <c r="H36" s="451"/>
      <c r="I36" s="451"/>
      <c r="J36" s="451"/>
      <c r="K36" s="451"/>
    </row>
    <row r="37" spans="1:21" ht="15" customHeight="1">
      <c r="A37" s="443" t="s">
        <v>257</v>
      </c>
      <c r="B37" s="443"/>
      <c r="C37" s="443"/>
      <c r="D37" s="443"/>
      <c r="E37" s="443"/>
      <c r="F37" s="104"/>
      <c r="G37" s="451"/>
      <c r="H37" s="451"/>
      <c r="I37" s="451"/>
      <c r="J37" s="451"/>
      <c r="K37" s="451"/>
      <c r="M37" s="68"/>
      <c r="N37" s="68"/>
      <c r="O37" s="68"/>
      <c r="P37" s="68"/>
      <c r="Q37" s="68"/>
      <c r="R37" s="68"/>
      <c r="S37" s="68"/>
    </row>
    <row r="38" spans="1:21" ht="15" customHeight="1">
      <c r="A38" s="444" t="str">
        <f>A29</f>
        <v>IV. čtvrtletí</v>
      </c>
      <c r="B38" s="445"/>
      <c r="C38" s="445"/>
      <c r="D38" s="445"/>
      <c r="E38" s="445"/>
      <c r="F38" s="109"/>
      <c r="G38" s="446" t="str">
        <f>A29</f>
        <v>IV. čtvrtletí</v>
      </c>
      <c r="H38" s="446"/>
      <c r="I38" s="446"/>
      <c r="J38" s="446"/>
      <c r="K38" s="446"/>
      <c r="M38" s="68"/>
      <c r="N38" s="68"/>
      <c r="O38" s="68"/>
      <c r="P38" s="68"/>
      <c r="Q38" s="68"/>
      <c r="R38" s="68"/>
      <c r="S38" s="68"/>
    </row>
    <row r="39" spans="1:21" ht="15" customHeight="1">
      <c r="A39" s="110"/>
      <c r="B39" s="110"/>
      <c r="C39" s="110"/>
      <c r="G39" s="110"/>
      <c r="H39" s="110"/>
      <c r="I39" s="110"/>
      <c r="J39" s="110"/>
      <c r="K39" s="110"/>
      <c r="M39" s="68"/>
      <c r="N39" s="68"/>
      <c r="O39" s="68"/>
      <c r="P39" s="68"/>
      <c r="Q39" s="68"/>
      <c r="R39" s="68"/>
      <c r="S39" s="68"/>
      <c r="T39" s="68"/>
    </row>
    <row r="40" spans="1:21" ht="15" customHeight="1">
      <c r="A40" s="83"/>
      <c r="B40" s="83"/>
      <c r="C40" s="83"/>
      <c r="G40" s="83"/>
      <c r="H40" s="83"/>
      <c r="I40" s="83"/>
      <c r="J40" s="83"/>
      <c r="K40" s="83"/>
    </row>
    <row r="41" spans="1:21" ht="15" customHeight="1">
      <c r="A41" s="83"/>
      <c r="B41" s="83"/>
      <c r="C41" s="83"/>
      <c r="G41" s="83"/>
      <c r="H41" s="83"/>
      <c r="I41" s="83"/>
      <c r="J41" s="83"/>
      <c r="K41" s="83"/>
    </row>
    <row r="42" spans="1:21" ht="15" customHeight="1">
      <c r="A42" s="83"/>
      <c r="B42" s="83"/>
      <c r="C42" s="83">
        <f>D4</f>
        <v>2025</v>
      </c>
      <c r="D42" s="83">
        <f>I4</f>
        <v>2024</v>
      </c>
      <c r="H42" s="83"/>
      <c r="I42" s="83">
        <f>D4</f>
        <v>2025</v>
      </c>
      <c r="J42" s="83">
        <f>I4</f>
        <v>2024</v>
      </c>
      <c r="K42" s="83"/>
    </row>
    <row r="43" spans="1:21" ht="15" customHeight="1">
      <c r="A43" s="83"/>
      <c r="B43" s="83" t="str">
        <f>A8</f>
        <v>Říjen</v>
      </c>
      <c r="C43" s="69">
        <f>E14</f>
        <v>605489.71788701997</v>
      </c>
      <c r="D43" s="69">
        <f>I14</f>
        <v>555181.71762775804</v>
      </c>
      <c r="H43" s="83" t="str">
        <f>A8</f>
        <v>Říjen</v>
      </c>
      <c r="I43" s="84">
        <f>E14/E35</f>
        <v>0.25765471356802411</v>
      </c>
      <c r="J43" s="84">
        <f>I14/I35</f>
        <v>0.23426351077014654</v>
      </c>
      <c r="K43" s="83"/>
    </row>
    <row r="44" spans="1:21" ht="15" customHeight="1">
      <c r="A44" s="83"/>
      <c r="B44" s="83" t="str">
        <f>A15</f>
        <v>Listopad</v>
      </c>
      <c r="C44" s="69">
        <f>E21</f>
        <v>806070.68673837301</v>
      </c>
      <c r="D44" s="69">
        <f>I21</f>
        <v>865477.27314726391</v>
      </c>
      <c r="H44" s="83" t="str">
        <f>A15</f>
        <v>Listopad</v>
      </c>
      <c r="I44" s="84">
        <f>E21/E35</f>
        <v>0.34300815649178218</v>
      </c>
      <c r="J44" s="84">
        <f>I21/I35</f>
        <v>0.36519528302477733</v>
      </c>
      <c r="K44" s="83"/>
    </row>
    <row r="45" spans="1:21" ht="15" customHeight="1">
      <c r="A45" s="83"/>
      <c r="B45" s="83" t="str">
        <f>A22</f>
        <v>Prosinec</v>
      </c>
      <c r="C45" s="69">
        <f>E28</f>
        <v>938444.02379024716</v>
      </c>
      <c r="D45" s="69">
        <f>I28</f>
        <v>949243.67055958288</v>
      </c>
      <c r="H45" s="83" t="str">
        <f>A22</f>
        <v>Prosinec</v>
      </c>
      <c r="I45" s="84">
        <f>E28/E35</f>
        <v>0.39933712994019371</v>
      </c>
      <c r="J45" s="84">
        <f>I28/I35</f>
        <v>0.40054120620507627</v>
      </c>
      <c r="K45" s="83"/>
    </row>
    <row r="46" spans="1:21" ht="15" customHeight="1">
      <c r="A46" s="83"/>
      <c r="B46" s="83"/>
      <c r="C46" s="69">
        <f>SUM(C43:C45)</f>
        <v>2350004.4284156403</v>
      </c>
      <c r="D46" s="69">
        <f>SUM(D43:D45)</f>
        <v>2369902.661334605</v>
      </c>
      <c r="E46" s="83"/>
      <c r="F46" s="83"/>
      <c r="G46" s="83"/>
      <c r="H46" s="83"/>
      <c r="I46" s="85">
        <f>SUM(I43:I45)</f>
        <v>1</v>
      </c>
      <c r="J46" s="85">
        <f>SUM(J43:J45)</f>
        <v>1</v>
      </c>
      <c r="K46" s="83"/>
    </row>
    <row r="47" spans="1:21" ht="15" customHeight="1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</row>
    <row r="48" spans="1:21" ht="15" customHeight="1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</row>
    <row r="49" spans="1:11" ht="15" customHeight="1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</row>
    <row r="50" spans="1:11" ht="15" customHeight="1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</row>
    <row r="51" spans="1:11" ht="15" customHeight="1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</row>
    <row r="52" spans="1:11" ht="15" customHeight="1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</row>
    <row r="53" spans="1:11" ht="15" customHeight="1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</row>
    <row r="54" spans="1:11" ht="15" customHeight="1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</row>
    <row r="55" spans="1:11" ht="15" customHeight="1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</row>
    <row r="56" spans="1:11" ht="15" customHeight="1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</row>
    <row r="57" spans="1:11" ht="15" customHeight="1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</row>
    <row r="58" spans="1:11" ht="15" customHeight="1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</row>
    <row r="59" spans="1:11" ht="15" customHeight="1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</row>
    <row r="60" spans="1:11" ht="15" customHeight="1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</row>
    <row r="61" spans="1:11" ht="15" customHeight="1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</row>
    <row r="62" spans="1:11" ht="15" customHeight="1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1" ht="15" customHeight="1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1" ht="15" customHeight="1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mergeCells count="21">
    <mergeCell ref="A2:K2"/>
    <mergeCell ref="A3:C3"/>
    <mergeCell ref="I6:J6"/>
    <mergeCell ref="E6:F6"/>
    <mergeCell ref="G6:G7"/>
    <mergeCell ref="H6:H7"/>
    <mergeCell ref="K6:K7"/>
    <mergeCell ref="I4:K5"/>
    <mergeCell ref="D6:D7"/>
    <mergeCell ref="C6:C7"/>
    <mergeCell ref="A6:B7"/>
    <mergeCell ref="A4:C4"/>
    <mergeCell ref="D4:G5"/>
    <mergeCell ref="A37:E37"/>
    <mergeCell ref="A38:E38"/>
    <mergeCell ref="G38:K38"/>
    <mergeCell ref="A8:B14"/>
    <mergeCell ref="A15:B21"/>
    <mergeCell ref="A22:B28"/>
    <mergeCell ref="A29:B35"/>
    <mergeCell ref="G36:K3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5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4"/>
  <dimension ref="A1:U92"/>
  <sheetViews>
    <sheetView showGridLines="0" topLeftCell="A29" zoomScaleNormal="100" zoomScaleSheetLayoutView="100" workbookViewId="0">
      <selection activeCell="G1" sqref="G1"/>
    </sheetView>
  </sheetViews>
  <sheetFormatPr defaultColWidth="9.1796875" defaultRowHeight="12.5"/>
  <cols>
    <col min="1" max="1" width="9.453125" style="67" customWidth="1"/>
    <col min="2" max="2" width="3.81640625" style="67" customWidth="1"/>
    <col min="3" max="11" width="9.54296875" style="67" customWidth="1"/>
    <col min="12" max="13" width="9.1796875" style="67"/>
    <col min="14" max="14" width="11.1796875" style="67" customWidth="1"/>
    <col min="15" max="16384" width="9.1796875" style="67"/>
  </cols>
  <sheetData>
    <row r="1" spans="1:21" s="76" customFormat="1" ht="18">
      <c r="A1" s="437" t="s">
        <v>310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</row>
    <row r="2" spans="1:21" ht="6" customHeight="1">
      <c r="A2" s="452"/>
      <c r="B2" s="452"/>
      <c r="C2" s="452"/>
      <c r="D2" s="290"/>
      <c r="E2" s="290"/>
      <c r="F2" s="291"/>
      <c r="G2" s="292"/>
      <c r="H2" s="292"/>
      <c r="I2" s="292"/>
      <c r="J2" s="257"/>
      <c r="K2" s="257"/>
    </row>
    <row r="3" spans="1:21" ht="15" customHeight="1">
      <c r="A3" s="463" t="s">
        <v>242</v>
      </c>
      <c r="B3" s="463"/>
      <c r="C3" s="463"/>
      <c r="D3" s="316">
        <f>'3.1'!A4</f>
        <v>2025</v>
      </c>
      <c r="E3" s="458"/>
      <c r="F3" s="458"/>
      <c r="G3" s="458"/>
      <c r="H3" s="315"/>
      <c r="I3" s="457">
        <f>D3-1</f>
        <v>2024</v>
      </c>
      <c r="J3" s="458"/>
      <c r="K3" s="458"/>
    </row>
    <row r="4" spans="1:21" ht="50.15" customHeight="1">
      <c r="A4" s="464"/>
      <c r="B4" s="464"/>
      <c r="C4" s="464"/>
      <c r="D4" s="318"/>
      <c r="E4" s="460"/>
      <c r="F4" s="460"/>
      <c r="G4" s="460"/>
      <c r="H4" s="157"/>
      <c r="I4" s="459"/>
      <c r="J4" s="460"/>
      <c r="K4" s="460"/>
    </row>
    <row r="5" spans="1:21" ht="25" customHeight="1">
      <c r="A5" s="463" t="s">
        <v>155</v>
      </c>
      <c r="B5" s="463"/>
      <c r="C5" s="465" t="s">
        <v>180</v>
      </c>
      <c r="D5" s="461" t="s">
        <v>156</v>
      </c>
      <c r="E5" s="455" t="s">
        <v>59</v>
      </c>
      <c r="F5" s="455"/>
      <c r="G5" s="456" t="s">
        <v>32</v>
      </c>
      <c r="H5" s="456" t="s">
        <v>256</v>
      </c>
      <c r="I5" s="453" t="s">
        <v>59</v>
      </c>
      <c r="J5" s="454"/>
      <c r="K5" s="456" t="s">
        <v>32</v>
      </c>
    </row>
    <row r="6" spans="1:21" ht="22.5" customHeight="1">
      <c r="A6" s="464"/>
      <c r="B6" s="464"/>
      <c r="C6" s="466"/>
      <c r="D6" s="462"/>
      <c r="E6" s="201" t="s">
        <v>247</v>
      </c>
      <c r="F6" s="201" t="s">
        <v>248</v>
      </c>
      <c r="G6" s="442"/>
      <c r="H6" s="442"/>
      <c r="I6" s="203" t="s">
        <v>247</v>
      </c>
      <c r="J6" s="201" t="s">
        <v>248</v>
      </c>
      <c r="K6" s="442"/>
    </row>
    <row r="7" spans="1:21" ht="13" customHeight="1">
      <c r="A7" s="397" t="str">
        <f>'3.1'!D5</f>
        <v>Říjen</v>
      </c>
      <c r="B7" s="397"/>
      <c r="C7" s="147" t="s">
        <v>4</v>
      </c>
      <c r="D7" s="287">
        <v>126</v>
      </c>
      <c r="E7" s="283">
        <v>12687.415423361001</v>
      </c>
      <c r="F7" s="283">
        <v>140472.66078000001</v>
      </c>
      <c r="G7" s="284">
        <f t="shared" ref="G7:G12" si="0">E7/$E$13</f>
        <v>0.20690746807221524</v>
      </c>
      <c r="H7" s="284">
        <f>(E7-I7)/I7</f>
        <v>5.933368690381581E-2</v>
      </c>
      <c r="I7" s="287">
        <v>11976.788409744</v>
      </c>
      <c r="J7" s="283">
        <v>131147.69216999999</v>
      </c>
      <c r="K7" s="284">
        <f>I7/$I$13</f>
        <v>0.22426306904337803</v>
      </c>
      <c r="M7" s="79"/>
      <c r="N7" s="79"/>
      <c r="O7" s="79"/>
      <c r="P7" s="79"/>
      <c r="Q7" s="79"/>
      <c r="R7" s="79"/>
      <c r="S7" s="79"/>
      <c r="T7" s="79"/>
      <c r="U7" s="79"/>
    </row>
    <row r="8" spans="1:21" ht="13" customHeight="1">
      <c r="A8" s="398"/>
      <c r="B8" s="398"/>
      <c r="C8" s="137" t="s">
        <v>5</v>
      </c>
      <c r="D8" s="288">
        <v>1325</v>
      </c>
      <c r="E8" s="113">
        <v>11422.777307246</v>
      </c>
      <c r="F8" s="113">
        <v>126470.82706</v>
      </c>
      <c r="G8" s="282">
        <f t="shared" si="0"/>
        <v>0.18628364029471711</v>
      </c>
      <c r="H8" s="282">
        <f t="shared" ref="H8:H11" si="1">(E8-I8)/I8</f>
        <v>0.14925379208116127</v>
      </c>
      <c r="I8" s="288">
        <v>9939.2992095860009</v>
      </c>
      <c r="J8" s="113">
        <v>108836.76347000001</v>
      </c>
      <c r="K8" s="282">
        <f t="shared" ref="K8:K12" si="2">I8/$I$13</f>
        <v>0.18611147401324279</v>
      </c>
      <c r="L8" s="68"/>
      <c r="M8" s="79"/>
      <c r="N8" s="79"/>
      <c r="O8" s="79"/>
      <c r="P8" s="79"/>
      <c r="Q8" s="79"/>
      <c r="R8" s="79"/>
      <c r="S8" s="79"/>
    </row>
    <row r="9" spans="1:21" ht="13" customHeight="1">
      <c r="A9" s="398"/>
      <c r="B9" s="398"/>
      <c r="C9" s="137" t="s">
        <v>6</v>
      </c>
      <c r="D9" s="288">
        <v>37162</v>
      </c>
      <c r="E9" s="113">
        <v>15649.87473877</v>
      </c>
      <c r="F9" s="113">
        <v>173272.44927922401</v>
      </c>
      <c r="G9" s="282">
        <f t="shared" si="0"/>
        <v>0.25521951081415989</v>
      </c>
      <c r="H9" s="282">
        <f t="shared" si="1"/>
        <v>0.2096864721058993</v>
      </c>
      <c r="I9" s="288">
        <v>12937.132967624</v>
      </c>
      <c r="J9" s="113">
        <v>141663.476577831</v>
      </c>
      <c r="K9" s="282">
        <f t="shared" si="2"/>
        <v>0.2422453369537016</v>
      </c>
      <c r="L9" s="68"/>
      <c r="M9" s="79"/>
      <c r="N9" s="79"/>
      <c r="O9" s="79"/>
      <c r="P9" s="79"/>
      <c r="Q9" s="79"/>
      <c r="R9" s="79"/>
      <c r="S9" s="79"/>
    </row>
    <row r="10" spans="1:21" ht="13" customHeight="1">
      <c r="A10" s="398"/>
      <c r="B10" s="398"/>
      <c r="C10" s="137" t="s">
        <v>7</v>
      </c>
      <c r="D10" s="288">
        <v>355405</v>
      </c>
      <c r="E10" s="113">
        <v>19246.038718711003</v>
      </c>
      <c r="F10" s="113">
        <v>213088.49581092899</v>
      </c>
      <c r="G10" s="282">
        <f t="shared" si="0"/>
        <v>0.31386606403508238</v>
      </c>
      <c r="H10" s="282">
        <f t="shared" si="1"/>
        <v>0.18667140682569464</v>
      </c>
      <c r="I10" s="288">
        <v>16218.507168882999</v>
      </c>
      <c r="J10" s="113">
        <v>177594.998536092</v>
      </c>
      <c r="K10" s="282">
        <f t="shared" si="2"/>
        <v>0.30368844038662229</v>
      </c>
      <c r="L10" s="68"/>
      <c r="M10" s="79"/>
      <c r="N10" s="79"/>
      <c r="O10" s="79"/>
      <c r="P10" s="79"/>
      <c r="Q10" s="79"/>
      <c r="R10" s="79"/>
      <c r="S10" s="79"/>
    </row>
    <row r="11" spans="1:21" ht="13" customHeight="1">
      <c r="A11" s="398"/>
      <c r="B11" s="398"/>
      <c r="C11" s="137" t="s">
        <v>90</v>
      </c>
      <c r="D11" s="288">
        <v>41</v>
      </c>
      <c r="E11" s="113">
        <v>1163.803657446</v>
      </c>
      <c r="F11" s="113">
        <v>12885.413689999999</v>
      </c>
      <c r="G11" s="282">
        <f t="shared" si="0"/>
        <v>1.8979410704244581E-2</v>
      </c>
      <c r="H11" s="282">
        <f t="shared" si="1"/>
        <v>-5.2339875500948659E-2</v>
      </c>
      <c r="I11" s="288">
        <v>1228.081278677</v>
      </c>
      <c r="J11" s="113">
        <v>13447.66757</v>
      </c>
      <c r="K11" s="282">
        <f t="shared" si="2"/>
        <v>2.299558672730254E-2</v>
      </c>
      <c r="L11" s="68"/>
      <c r="M11" s="79"/>
      <c r="N11" s="79"/>
      <c r="O11" s="79"/>
      <c r="P11" s="79"/>
      <c r="Q11" s="79"/>
      <c r="R11" s="79"/>
      <c r="S11" s="79"/>
    </row>
    <row r="12" spans="1:21" ht="13" customHeight="1">
      <c r="A12" s="398"/>
      <c r="B12" s="398"/>
      <c r="C12" s="137" t="s">
        <v>91</v>
      </c>
      <c r="D12" s="288"/>
      <c r="E12" s="113">
        <v>1149.3626851839999</v>
      </c>
      <c r="F12" s="113">
        <v>12725.52598</v>
      </c>
      <c r="G12" s="282">
        <f t="shared" si="0"/>
        <v>1.8743906079580847E-2</v>
      </c>
      <c r="H12" s="282">
        <f>(E12-I12)/I12</f>
        <v>3.9886913458426314E-2</v>
      </c>
      <c r="I12" s="288">
        <v>1105.27661259</v>
      </c>
      <c r="J12" s="113">
        <v>12102.93872</v>
      </c>
      <c r="K12" s="282">
        <f t="shared" si="2"/>
        <v>2.0696092875752855E-2</v>
      </c>
      <c r="L12" s="68"/>
      <c r="M12" s="79"/>
      <c r="N12" s="79"/>
      <c r="O12" s="79"/>
      <c r="P12" s="79"/>
      <c r="Q12" s="79"/>
      <c r="R12" s="79"/>
      <c r="S12" s="79"/>
    </row>
    <row r="13" spans="1:21" ht="13" customHeight="1">
      <c r="A13" s="399"/>
      <c r="B13" s="399"/>
      <c r="C13" s="293" t="s">
        <v>0</v>
      </c>
      <c r="D13" s="296">
        <v>394059</v>
      </c>
      <c r="E13" s="294">
        <v>61319.272530718001</v>
      </c>
      <c r="F13" s="294">
        <v>678915.37260015297</v>
      </c>
      <c r="G13" s="295">
        <f>SUM(G7:G12)</f>
        <v>1</v>
      </c>
      <c r="H13" s="295">
        <f>(E13-I13)/I13</f>
        <v>0.1481916335816825</v>
      </c>
      <c r="I13" s="296">
        <v>53405.085647103995</v>
      </c>
      <c r="J13" s="294">
        <v>584793.53704392305</v>
      </c>
      <c r="K13" s="295">
        <f>SUM(K7:K12)</f>
        <v>1</v>
      </c>
      <c r="L13" s="68"/>
      <c r="M13" s="79"/>
      <c r="N13" s="79"/>
      <c r="O13" s="79"/>
      <c r="P13" s="79"/>
      <c r="Q13" s="79"/>
      <c r="R13" s="79"/>
      <c r="S13" s="79"/>
    </row>
    <row r="14" spans="1:21" ht="13" customHeight="1">
      <c r="A14" s="397" t="str">
        <f>'3.1'!E5</f>
        <v>Listopad</v>
      </c>
      <c r="B14" s="397"/>
      <c r="C14" s="147" t="s">
        <v>4</v>
      </c>
      <c r="D14" s="287">
        <v>126</v>
      </c>
      <c r="E14" s="283">
        <v>17468.044938266001</v>
      </c>
      <c r="F14" s="283">
        <v>192559.00532</v>
      </c>
      <c r="G14" s="284">
        <f>E14/$E$20</f>
        <v>0.184930250687833</v>
      </c>
      <c r="H14" s="284">
        <f>(E14-I14)/I14</f>
        <v>-6.8742504131702936E-2</v>
      </c>
      <c r="I14" s="287">
        <v>18757.481164732999</v>
      </c>
      <c r="J14" s="283">
        <v>204831.49749000001</v>
      </c>
      <c r="K14" s="284">
        <f>I14/$I$20</f>
        <v>0.19608181765866667</v>
      </c>
      <c r="L14" s="68"/>
      <c r="M14" s="79"/>
      <c r="N14" s="79"/>
      <c r="O14" s="79"/>
      <c r="P14" s="79"/>
      <c r="Q14" s="79"/>
      <c r="R14" s="79"/>
      <c r="S14" s="79"/>
    </row>
    <row r="15" spans="1:21" ht="13" customHeight="1">
      <c r="A15" s="398"/>
      <c r="B15" s="398"/>
      <c r="C15" s="137" t="s">
        <v>5</v>
      </c>
      <c r="D15" s="288">
        <v>1324</v>
      </c>
      <c r="E15" s="113">
        <v>17385.021561549998</v>
      </c>
      <c r="F15" s="113">
        <v>191643.79706999997</v>
      </c>
      <c r="G15" s="282">
        <f t="shared" ref="G15:G19" si="3">E15/$E$20</f>
        <v>0.18405130092995789</v>
      </c>
      <c r="H15" s="282">
        <f t="shared" ref="H15:H17" si="4">(E15-I15)/I15</f>
        <v>-3.2415259223813525E-2</v>
      </c>
      <c r="I15" s="288">
        <v>17967.440813095</v>
      </c>
      <c r="J15" s="113">
        <v>196204.24033999999</v>
      </c>
      <c r="K15" s="282">
        <f t="shared" ref="K15:K19" si="5">I15/$I$20</f>
        <v>0.18782311027613544</v>
      </c>
      <c r="L15" s="86"/>
      <c r="M15" s="79"/>
      <c r="N15" s="79"/>
      <c r="O15" s="79"/>
      <c r="P15" s="79"/>
      <c r="Q15" s="79"/>
      <c r="R15" s="79"/>
      <c r="S15" s="79"/>
    </row>
    <row r="16" spans="1:21" ht="13" customHeight="1">
      <c r="A16" s="398"/>
      <c r="B16" s="398"/>
      <c r="C16" s="137" t="s">
        <v>6</v>
      </c>
      <c r="D16" s="288">
        <v>37159</v>
      </c>
      <c r="E16" s="113">
        <v>25734.411262997</v>
      </c>
      <c r="F16" s="113">
        <v>283683.30015243898</v>
      </c>
      <c r="G16" s="282">
        <f t="shared" si="3"/>
        <v>0.27244440594175889</v>
      </c>
      <c r="H16" s="282">
        <f t="shared" si="4"/>
        <v>2.1600677395645709E-2</v>
      </c>
      <c r="I16" s="288">
        <v>25190.284063438001</v>
      </c>
      <c r="J16" s="113">
        <v>275077.60287227301</v>
      </c>
      <c r="K16" s="282">
        <f>I16/$I$20</f>
        <v>0.26332729022187856</v>
      </c>
      <c r="L16" s="68"/>
      <c r="M16" s="79"/>
      <c r="N16" s="79"/>
      <c r="O16" s="79"/>
      <c r="P16" s="79"/>
      <c r="Q16" s="79"/>
      <c r="R16" s="79"/>
      <c r="S16" s="79"/>
    </row>
    <row r="17" spans="1:20" ht="13" customHeight="1">
      <c r="A17" s="398"/>
      <c r="B17" s="398"/>
      <c r="C17" s="137" t="s">
        <v>7</v>
      </c>
      <c r="D17" s="288">
        <v>355542</v>
      </c>
      <c r="E17" s="113">
        <v>31355.553367316999</v>
      </c>
      <c r="F17" s="113">
        <v>345647.96398262901</v>
      </c>
      <c r="G17" s="282">
        <f t="shared" si="3"/>
        <v>0.33195416917958004</v>
      </c>
      <c r="H17" s="282">
        <f t="shared" si="4"/>
        <v>1.4005096656188744E-2</v>
      </c>
      <c r="I17" s="288">
        <v>30922.481031619998</v>
      </c>
      <c r="J17" s="113">
        <v>337673.12570275302</v>
      </c>
      <c r="K17" s="282">
        <f>I17/$I$20</f>
        <v>0.32324896045188162</v>
      </c>
      <c r="L17" s="68"/>
      <c r="M17" s="79"/>
      <c r="N17" s="79"/>
      <c r="O17" s="79"/>
      <c r="P17" s="79"/>
      <c r="Q17" s="79"/>
      <c r="R17" s="79"/>
      <c r="S17" s="79"/>
    </row>
    <row r="18" spans="1:20" ht="13" customHeight="1">
      <c r="A18" s="398"/>
      <c r="B18" s="398"/>
      <c r="C18" s="137" t="s">
        <v>90</v>
      </c>
      <c r="D18" s="288">
        <v>41</v>
      </c>
      <c r="E18" s="113">
        <v>1145.967391164</v>
      </c>
      <c r="F18" s="113">
        <v>12632.572319999999</v>
      </c>
      <c r="G18" s="282">
        <f t="shared" si="3"/>
        <v>1.2132098221466882E-2</v>
      </c>
      <c r="H18" s="282">
        <f>(E18-I18)/I18</f>
        <v>-7.7737116462472139E-2</v>
      </c>
      <c r="I18" s="288">
        <v>1242.5604582159999</v>
      </c>
      <c r="J18" s="113">
        <v>13568.74545</v>
      </c>
      <c r="K18" s="282">
        <f>I18/$I$20</f>
        <v>1.2989138096849963E-2</v>
      </c>
      <c r="L18" s="68"/>
      <c r="M18" s="79"/>
      <c r="N18" s="79"/>
      <c r="O18" s="79"/>
      <c r="P18" s="79"/>
      <c r="Q18" s="79"/>
      <c r="R18" s="79"/>
      <c r="S18" s="79"/>
    </row>
    <row r="19" spans="1:20" ht="13" customHeight="1">
      <c r="A19" s="398"/>
      <c r="B19" s="398"/>
      <c r="C19" s="137" t="s">
        <v>91</v>
      </c>
      <c r="D19" s="288"/>
      <c r="E19" s="113">
        <v>1368.478680489</v>
      </c>
      <c r="F19" s="113">
        <v>15085.425670000001</v>
      </c>
      <c r="G19" s="282">
        <f t="shared" si="3"/>
        <v>1.4487775039403322E-2</v>
      </c>
      <c r="H19" s="282">
        <f t="shared" ref="H19" si="6">(E19-I19)/I19</f>
        <v>-0.13456130668733404</v>
      </c>
      <c r="I19" s="288">
        <v>1581.2543292360001</v>
      </c>
      <c r="J19" s="113">
        <v>17267.2785</v>
      </c>
      <c r="K19" s="282">
        <f t="shared" si="5"/>
        <v>1.6529683294587708E-2</v>
      </c>
      <c r="L19" s="68"/>
      <c r="M19" s="79"/>
      <c r="N19" s="79"/>
      <c r="O19" s="79"/>
      <c r="P19" s="79"/>
      <c r="Q19" s="79"/>
      <c r="R19" s="79"/>
      <c r="S19" s="79"/>
    </row>
    <row r="20" spans="1:20" ht="13" customHeight="1">
      <c r="A20" s="399"/>
      <c r="B20" s="399"/>
      <c r="C20" s="293" t="s">
        <v>0</v>
      </c>
      <c r="D20" s="296">
        <v>394192</v>
      </c>
      <c r="E20" s="294">
        <v>94457.477201782996</v>
      </c>
      <c r="F20" s="294">
        <v>1041252.0645150681</v>
      </c>
      <c r="G20" s="295">
        <f>SUM(G14:G19)</f>
        <v>1</v>
      </c>
      <c r="H20" s="295">
        <f>(E20-I20)/I20</f>
        <v>-1.2586303111912597E-2</v>
      </c>
      <c r="I20" s="296">
        <v>95661.501860338001</v>
      </c>
      <c r="J20" s="294">
        <v>1044622.490355026</v>
      </c>
      <c r="K20" s="295">
        <f>SUM(K14:K19)</f>
        <v>1</v>
      </c>
      <c r="L20" s="68"/>
      <c r="M20" s="79"/>
      <c r="N20" s="79"/>
      <c r="O20" s="79"/>
      <c r="P20" s="79"/>
      <c r="Q20" s="79"/>
      <c r="R20" s="79"/>
      <c r="S20" s="79"/>
    </row>
    <row r="21" spans="1:20" ht="13" customHeight="1">
      <c r="A21" s="397" t="str">
        <f>'3.1'!F5</f>
        <v>Prosinec</v>
      </c>
      <c r="B21" s="397"/>
      <c r="C21" s="147" t="s">
        <v>4</v>
      </c>
      <c r="D21" s="287">
        <v>126</v>
      </c>
      <c r="E21" s="283">
        <v>19935.189546031001</v>
      </c>
      <c r="F21" s="283">
        <v>219287.18464000002</v>
      </c>
      <c r="G21" s="284">
        <f>E21/$E$27</f>
        <v>0.17817925480817109</v>
      </c>
      <c r="H21" s="284">
        <f>(E21-I21)/I21</f>
        <v>-3.9858582805724296E-2</v>
      </c>
      <c r="I21" s="287">
        <v>20762.763889808641</v>
      </c>
      <c r="J21" s="283">
        <v>225891.91294000001</v>
      </c>
      <c r="K21" s="284">
        <f>I21/$I$27</f>
        <v>0.18368825212962286</v>
      </c>
      <c r="L21" s="78"/>
      <c r="M21" s="79"/>
      <c r="N21" s="79"/>
      <c r="O21" s="79"/>
      <c r="P21" s="79"/>
      <c r="Q21" s="79"/>
      <c r="R21" s="79"/>
      <c r="S21" s="79"/>
      <c r="T21" s="78"/>
    </row>
    <row r="22" spans="1:20" ht="13" customHeight="1">
      <c r="A22" s="398"/>
      <c r="B22" s="398"/>
      <c r="C22" s="137" t="s">
        <v>5</v>
      </c>
      <c r="D22" s="288">
        <v>1326</v>
      </c>
      <c r="E22" s="113">
        <v>20911.712548708001</v>
      </c>
      <c r="F22" s="113">
        <v>230028.94255000001</v>
      </c>
      <c r="G22" s="282">
        <f t="shared" ref="G22:G26" si="7">E22/$E$27</f>
        <v>0.18690734542994636</v>
      </c>
      <c r="H22" s="282">
        <f t="shared" ref="H22:H26" si="8">(E22-I22)/I22</f>
        <v>-2.5173375641679894E-3</v>
      </c>
      <c r="I22" s="288">
        <v>20964.487239950649</v>
      </c>
      <c r="J22" s="113">
        <v>228358.16091000001</v>
      </c>
      <c r="K22" s="282">
        <f t="shared" ref="K22:K26" si="9">I22/$I$27</f>
        <v>0.18547289938554556</v>
      </c>
      <c r="L22" s="78"/>
      <c r="M22" s="79"/>
      <c r="N22" s="79"/>
      <c r="O22" s="79"/>
      <c r="P22" s="79"/>
      <c r="Q22" s="79"/>
      <c r="R22" s="79"/>
      <c r="S22" s="79"/>
      <c r="T22" s="78"/>
    </row>
    <row r="23" spans="1:20" ht="13" customHeight="1">
      <c r="A23" s="398"/>
      <c r="B23" s="398"/>
      <c r="C23" s="137" t="s">
        <v>6</v>
      </c>
      <c r="D23" s="288">
        <v>37124</v>
      </c>
      <c r="E23" s="113">
        <v>31386.514778757999</v>
      </c>
      <c r="F23" s="113">
        <v>345251.81943235203</v>
      </c>
      <c r="G23" s="282">
        <f t="shared" si="7"/>
        <v>0.28053035570048918</v>
      </c>
      <c r="H23" s="282">
        <f t="shared" si="8"/>
        <v>2.3415357526526751E-2</v>
      </c>
      <c r="I23" s="288">
        <v>30668.403154136238</v>
      </c>
      <c r="J23" s="113">
        <v>334226.617866733</v>
      </c>
      <c r="K23" s="282">
        <f t="shared" si="9"/>
        <v>0.27132348086639146</v>
      </c>
      <c r="L23" s="78"/>
      <c r="M23" s="79"/>
      <c r="N23" s="79"/>
      <c r="O23" s="79"/>
      <c r="P23" s="79"/>
      <c r="Q23" s="79"/>
      <c r="R23" s="79"/>
      <c r="S23" s="79"/>
      <c r="T23" s="78"/>
    </row>
    <row r="24" spans="1:20" ht="13" customHeight="1">
      <c r="A24" s="398"/>
      <c r="B24" s="398"/>
      <c r="C24" s="137" t="s">
        <v>7</v>
      </c>
      <c r="D24" s="288">
        <v>354804</v>
      </c>
      <c r="E24" s="113">
        <v>37520.398711280999</v>
      </c>
      <c r="F24" s="113">
        <v>412724.573346499</v>
      </c>
      <c r="G24" s="282">
        <f t="shared" si="7"/>
        <v>0.33535455818189269</v>
      </c>
      <c r="H24" s="282">
        <f t="shared" si="8"/>
        <v>-7.3451480461585198E-3</v>
      </c>
      <c r="I24" s="288">
        <v>37798.030843681103</v>
      </c>
      <c r="J24" s="113">
        <v>411844.22603040101</v>
      </c>
      <c r="K24" s="282">
        <f t="shared" si="9"/>
        <v>0.33439932450541138</v>
      </c>
      <c r="L24" s="78"/>
      <c r="M24" s="79"/>
      <c r="N24" s="79"/>
      <c r="O24" s="79"/>
      <c r="P24" s="79"/>
      <c r="Q24" s="79"/>
      <c r="R24" s="79"/>
      <c r="S24" s="79"/>
      <c r="T24" s="78"/>
    </row>
    <row r="25" spans="1:20" ht="13" customHeight="1">
      <c r="A25" s="398"/>
      <c r="B25" s="398"/>
      <c r="C25" s="137" t="s">
        <v>90</v>
      </c>
      <c r="D25" s="288">
        <v>40</v>
      </c>
      <c r="E25" s="113">
        <v>1117.7121648919999</v>
      </c>
      <c r="F25" s="113">
        <v>12294.839400000001</v>
      </c>
      <c r="G25" s="282">
        <f t="shared" si="7"/>
        <v>9.9900289470854133E-3</v>
      </c>
      <c r="H25" s="282">
        <f t="shared" si="8"/>
        <v>-0.1096521925169297</v>
      </c>
      <c r="I25" s="288">
        <v>1255.3657744737613</v>
      </c>
      <c r="J25" s="113">
        <v>13554.251689999999</v>
      </c>
      <c r="K25" s="282">
        <f t="shared" si="9"/>
        <v>1.110622584354596E-2</v>
      </c>
      <c r="L25" s="78"/>
      <c r="M25" s="79"/>
      <c r="N25" s="79"/>
      <c r="O25" s="79"/>
      <c r="P25" s="79"/>
      <c r="Q25" s="79"/>
      <c r="R25" s="79"/>
      <c r="S25" s="79"/>
      <c r="T25" s="78"/>
    </row>
    <row r="26" spans="1:20" ht="13" customHeight="1">
      <c r="A26" s="398"/>
      <c r="B26" s="398"/>
      <c r="C26" s="137" t="s">
        <v>91</v>
      </c>
      <c r="D26" s="288"/>
      <c r="E26" s="113">
        <v>1011.2476469009999</v>
      </c>
      <c r="F26" s="113">
        <v>11123.729170000001</v>
      </c>
      <c r="G26" s="282">
        <f t="shared" si="7"/>
        <v>9.0384569324152893E-3</v>
      </c>
      <c r="H26" s="282">
        <f t="shared" si="8"/>
        <v>-0.36141124068483171</v>
      </c>
      <c r="I26" s="288">
        <v>1583.5663126696379</v>
      </c>
      <c r="J26" s="113">
        <v>17188.188089999989</v>
      </c>
      <c r="K26" s="282">
        <f t="shared" si="9"/>
        <v>1.400981726948293E-2</v>
      </c>
      <c r="L26" s="78"/>
      <c r="M26" s="79"/>
      <c r="N26" s="79"/>
      <c r="O26" s="79"/>
      <c r="P26" s="79"/>
      <c r="Q26" s="79"/>
      <c r="R26" s="79"/>
      <c r="S26" s="79"/>
      <c r="T26" s="78"/>
    </row>
    <row r="27" spans="1:20" ht="13" customHeight="1">
      <c r="A27" s="399"/>
      <c r="B27" s="399"/>
      <c r="C27" s="293" t="s">
        <v>0</v>
      </c>
      <c r="D27" s="296">
        <v>393420</v>
      </c>
      <c r="E27" s="294">
        <v>111882.775396571</v>
      </c>
      <c r="F27" s="294">
        <v>1230711.0885388509</v>
      </c>
      <c r="G27" s="295">
        <f>SUM(G21:G26)</f>
        <v>1</v>
      </c>
      <c r="H27" s="295">
        <f>(E27-I27)/I27</f>
        <v>-1.0172654995369521E-2</v>
      </c>
      <c r="I27" s="296">
        <v>113032.61721472001</v>
      </c>
      <c r="J27" s="294">
        <v>1231063.3575271342</v>
      </c>
      <c r="K27" s="295">
        <f>SUM(K21:K26)</f>
        <v>1</v>
      </c>
      <c r="M27" s="79"/>
      <c r="N27" s="79"/>
      <c r="O27" s="79"/>
      <c r="P27" s="79"/>
      <c r="Q27" s="79"/>
      <c r="R27" s="79"/>
      <c r="S27" s="79"/>
    </row>
    <row r="28" spans="1:20" ht="13" customHeight="1">
      <c r="A28" s="467" t="str">
        <f>'3.1'!G5</f>
        <v>IV. čtvrtletí</v>
      </c>
      <c r="B28" s="467"/>
      <c r="C28" s="147" t="s">
        <v>4</v>
      </c>
      <c r="D28" s="287">
        <f>D21</f>
        <v>126</v>
      </c>
      <c r="E28" s="283">
        <f>E7+E14+E21</f>
        <v>50090.649907658008</v>
      </c>
      <c r="F28" s="283">
        <f>F7+F14+F21</f>
        <v>552318.85074000002</v>
      </c>
      <c r="G28" s="284">
        <f>E28/$E$34</f>
        <v>0.18714316213294879</v>
      </c>
      <c r="H28" s="284">
        <f>(E28-I28)/I28</f>
        <v>-2.7309991702784024E-2</v>
      </c>
      <c r="I28" s="287">
        <f>I7+I14+I21</f>
        <v>51497.03346428564</v>
      </c>
      <c r="J28" s="283">
        <f>J7+J14+J21</f>
        <v>561871.1026000001</v>
      </c>
      <c r="K28" s="284">
        <f>I28/$I$34</f>
        <v>0.1964791671873824</v>
      </c>
      <c r="M28" s="79"/>
      <c r="N28" s="79"/>
      <c r="O28" s="79"/>
      <c r="P28" s="79"/>
      <c r="Q28" s="79"/>
      <c r="R28" s="79"/>
      <c r="S28" s="79"/>
    </row>
    <row r="29" spans="1:20" ht="13" customHeight="1">
      <c r="A29" s="468"/>
      <c r="B29" s="468"/>
      <c r="C29" s="137" t="s">
        <v>5</v>
      </c>
      <c r="D29" s="288">
        <f t="shared" ref="D29:D32" si="10">D22</f>
        <v>1326</v>
      </c>
      <c r="E29" s="113">
        <f>E8+E15+E22</f>
        <v>49719.511417504</v>
      </c>
      <c r="F29" s="113">
        <f t="shared" ref="F29" si="11">F8+F15+F22</f>
        <v>548143.56667999993</v>
      </c>
      <c r="G29" s="282">
        <f t="shared" ref="G29:G33" si="12">E29/$E$34</f>
        <v>0.18575655543559688</v>
      </c>
      <c r="H29" s="282">
        <f t="shared" ref="H29:H31" si="13">(E29-I29)/I29</f>
        <v>1.7357537397489797E-2</v>
      </c>
      <c r="I29" s="288">
        <f>I8+I15+I22</f>
        <v>48871.227262631648</v>
      </c>
      <c r="J29" s="113">
        <f t="shared" ref="J29" si="14">J8+J15+J22</f>
        <v>533399.16472</v>
      </c>
      <c r="K29" s="282">
        <f t="shared" ref="K29:K33" si="15">I29/$I$34</f>
        <v>0.18646079950695593</v>
      </c>
      <c r="M29" s="79"/>
      <c r="N29" s="79"/>
      <c r="O29" s="79"/>
      <c r="P29" s="79"/>
      <c r="Q29" s="79"/>
      <c r="R29" s="79"/>
      <c r="S29" s="79"/>
    </row>
    <row r="30" spans="1:20" ht="13" customHeight="1">
      <c r="A30" s="468"/>
      <c r="B30" s="468"/>
      <c r="C30" s="137" t="s">
        <v>6</v>
      </c>
      <c r="D30" s="288">
        <f t="shared" si="10"/>
        <v>37124</v>
      </c>
      <c r="E30" s="113">
        <f t="shared" ref="E30:F33" si="16">E9+E16+E23</f>
        <v>72770.800780524994</v>
      </c>
      <c r="F30" s="113">
        <f t="shared" si="16"/>
        <v>802207.56886401493</v>
      </c>
      <c r="G30" s="282">
        <f t="shared" si="12"/>
        <v>0.27187824063213561</v>
      </c>
      <c r="H30" s="282">
        <f t="shared" si="13"/>
        <v>5.7779391024427182E-2</v>
      </c>
      <c r="I30" s="288">
        <f t="shared" ref="I30:J32" si="17">I9+I16+I23</f>
        <v>68795.820185198245</v>
      </c>
      <c r="J30" s="113">
        <f t="shared" si="17"/>
        <v>750967.69731683703</v>
      </c>
      <c r="K30" s="282">
        <f t="shared" si="15"/>
        <v>0.26248007985421085</v>
      </c>
      <c r="M30" s="79"/>
      <c r="N30" s="79"/>
      <c r="O30" s="79"/>
      <c r="P30" s="79"/>
      <c r="Q30" s="79"/>
      <c r="R30" s="79"/>
      <c r="S30" s="79"/>
    </row>
    <row r="31" spans="1:20" ht="13" customHeight="1">
      <c r="A31" s="468"/>
      <c r="B31" s="468"/>
      <c r="C31" s="137" t="s">
        <v>7</v>
      </c>
      <c r="D31" s="288">
        <f t="shared" si="10"/>
        <v>354804</v>
      </c>
      <c r="E31" s="113">
        <f>E10+E17+E24</f>
        <v>88121.990797309001</v>
      </c>
      <c r="F31" s="113">
        <f t="shared" si="16"/>
        <v>971461.033140057</v>
      </c>
      <c r="G31" s="282">
        <f t="shared" si="12"/>
        <v>0.32923166382670077</v>
      </c>
      <c r="H31" s="282">
        <f t="shared" si="13"/>
        <v>3.747361093809156E-2</v>
      </c>
      <c r="I31" s="288">
        <f>I10+I17+I24</f>
        <v>84939.019044184097</v>
      </c>
      <c r="J31" s="113">
        <f t="shared" si="17"/>
        <v>927112.35026924603</v>
      </c>
      <c r="K31" s="282">
        <f t="shared" si="15"/>
        <v>0.3240720212570794</v>
      </c>
      <c r="M31" s="79"/>
      <c r="N31" s="79"/>
      <c r="O31" s="79"/>
      <c r="P31" s="79"/>
      <c r="Q31" s="79"/>
      <c r="R31" s="79"/>
      <c r="S31" s="79"/>
    </row>
    <row r="32" spans="1:20" ht="13" customHeight="1">
      <c r="A32" s="468"/>
      <c r="B32" s="468"/>
      <c r="C32" s="137" t="s">
        <v>90</v>
      </c>
      <c r="D32" s="288">
        <f t="shared" si="10"/>
        <v>40</v>
      </c>
      <c r="E32" s="113">
        <f>E11+E18+E25</f>
        <v>3427.4832135019997</v>
      </c>
      <c r="F32" s="113">
        <f t="shared" si="16"/>
        <v>37812.825410000005</v>
      </c>
      <c r="G32" s="282">
        <f t="shared" si="12"/>
        <v>1.2805384795662261E-2</v>
      </c>
      <c r="H32" s="282">
        <f>(E32-I32)/I32</f>
        <v>-8.0119081068426912E-2</v>
      </c>
      <c r="I32" s="288">
        <f>I11+I18+I25</f>
        <v>3726.0075113667608</v>
      </c>
      <c r="J32" s="113">
        <f t="shared" si="17"/>
        <v>40570.664709999997</v>
      </c>
      <c r="K32" s="282">
        <f t="shared" si="15"/>
        <v>1.4216019904816236E-2</v>
      </c>
      <c r="M32" s="79"/>
      <c r="N32" s="79"/>
      <c r="O32" s="79"/>
      <c r="P32" s="79"/>
      <c r="Q32" s="79"/>
      <c r="R32" s="79"/>
      <c r="S32" s="79"/>
    </row>
    <row r="33" spans="1:20" ht="13" customHeight="1">
      <c r="A33" s="468"/>
      <c r="B33" s="468"/>
      <c r="C33" s="137" t="s">
        <v>91</v>
      </c>
      <c r="D33" s="288"/>
      <c r="E33" s="113">
        <f t="shared" si="16"/>
        <v>3529.0890125739998</v>
      </c>
      <c r="F33" s="113">
        <f t="shared" si="16"/>
        <v>38934.680820000001</v>
      </c>
      <c r="G33" s="282">
        <f t="shared" si="12"/>
        <v>1.3184993176955635E-2</v>
      </c>
      <c r="H33" s="282">
        <f t="shared" ref="H33" si="18">(E33-I33)/I33</f>
        <v>-0.17353427750187453</v>
      </c>
      <c r="I33" s="288">
        <f t="shared" ref="I33:J33" si="19">I12+I19+I26</f>
        <v>4270.0972544956385</v>
      </c>
      <c r="J33" s="113">
        <f t="shared" si="19"/>
        <v>46558.405309999987</v>
      </c>
      <c r="K33" s="282">
        <f t="shared" si="15"/>
        <v>1.6291912289555212E-2</v>
      </c>
      <c r="M33" s="79"/>
      <c r="N33" s="79"/>
      <c r="O33" s="79"/>
      <c r="P33" s="79"/>
      <c r="Q33" s="79"/>
      <c r="R33" s="79"/>
      <c r="S33" s="79"/>
    </row>
    <row r="34" spans="1:20" ht="13" customHeight="1">
      <c r="A34" s="469"/>
      <c r="B34" s="469"/>
      <c r="C34" s="293" t="s">
        <v>0</v>
      </c>
      <c r="D34" s="296">
        <f>SUM(D28:D33)</f>
        <v>393420</v>
      </c>
      <c r="E34" s="294">
        <f>SUM(E28:E33)</f>
        <v>267659.52512907202</v>
      </c>
      <c r="F34" s="294">
        <f>SUM(F28:F33)</f>
        <v>2950878.5256540715</v>
      </c>
      <c r="G34" s="295">
        <f>SUM(G28:G33)</f>
        <v>1</v>
      </c>
      <c r="H34" s="295">
        <f>(E34-I34)/I34</f>
        <v>2.121456420596245E-2</v>
      </c>
      <c r="I34" s="296">
        <f>SUM(I28:I33)</f>
        <v>262099.20472216202</v>
      </c>
      <c r="J34" s="294">
        <f>SUM(J28:J33)</f>
        <v>2860479.384926083</v>
      </c>
      <c r="K34" s="295">
        <f>SUM(K28:K33)</f>
        <v>0.99999999999999989</v>
      </c>
      <c r="M34" s="79"/>
      <c r="N34" s="79"/>
      <c r="O34" s="79"/>
      <c r="P34" s="79"/>
      <c r="Q34" s="79"/>
      <c r="R34" s="79"/>
      <c r="S34" s="79"/>
    </row>
    <row r="35" spans="1:20" ht="20.149999999999999" customHeight="1">
      <c r="A35" s="110"/>
      <c r="B35" s="278"/>
      <c r="C35" s="90"/>
      <c r="D35" s="78"/>
      <c r="E35" s="78"/>
      <c r="F35" s="78"/>
      <c r="G35" s="451" t="s">
        <v>258</v>
      </c>
      <c r="H35" s="451"/>
      <c r="I35" s="451"/>
      <c r="J35" s="451"/>
      <c r="K35" s="451"/>
    </row>
    <row r="36" spans="1:20" ht="15" customHeight="1">
      <c r="A36" s="443" t="s">
        <v>257</v>
      </c>
      <c r="B36" s="443"/>
      <c r="C36" s="443"/>
      <c r="D36" s="443"/>
      <c r="E36" s="443"/>
      <c r="F36" s="104"/>
      <c r="G36" s="451"/>
      <c r="H36" s="451"/>
      <c r="I36" s="451"/>
      <c r="J36" s="451"/>
      <c r="K36" s="451"/>
      <c r="M36" s="68"/>
      <c r="N36" s="68"/>
      <c r="O36" s="68"/>
      <c r="P36" s="68"/>
      <c r="Q36" s="68"/>
      <c r="R36" s="68"/>
      <c r="S36" s="68"/>
    </row>
    <row r="37" spans="1:20" ht="15" customHeight="1">
      <c r="A37" s="444" t="str">
        <f>A28</f>
        <v>IV. čtvrtletí</v>
      </c>
      <c r="B37" s="445"/>
      <c r="C37" s="445"/>
      <c r="D37" s="445"/>
      <c r="E37" s="445"/>
      <c r="F37" s="109"/>
      <c r="G37" s="446" t="str">
        <f>A28</f>
        <v>IV. čtvrtletí</v>
      </c>
      <c r="H37" s="446"/>
      <c r="I37" s="446"/>
      <c r="J37" s="446"/>
      <c r="K37" s="446"/>
      <c r="M37" s="68"/>
      <c r="N37" s="68"/>
      <c r="O37" s="68"/>
      <c r="P37" s="68"/>
      <c r="Q37" s="68"/>
      <c r="R37" s="68"/>
      <c r="S37" s="68"/>
    </row>
    <row r="38" spans="1:20" ht="15" customHeight="1">
      <c r="A38" s="83"/>
      <c r="B38" s="83"/>
      <c r="C38" s="83"/>
      <c r="G38" s="83"/>
      <c r="H38" s="83"/>
      <c r="I38" s="83"/>
      <c r="J38" s="83"/>
      <c r="K38" s="83"/>
      <c r="M38" s="68"/>
      <c r="N38" s="68"/>
      <c r="O38" s="68"/>
      <c r="P38" s="68"/>
      <c r="Q38" s="68"/>
      <c r="R38" s="68"/>
      <c r="S38" s="68"/>
      <c r="T38" s="68"/>
    </row>
    <row r="39" spans="1:20" ht="15" customHeight="1">
      <c r="A39" s="83"/>
      <c r="B39" s="83"/>
      <c r="C39" s="83"/>
      <c r="G39" s="83"/>
      <c r="H39" s="83"/>
      <c r="I39" s="83"/>
      <c r="J39" s="83"/>
      <c r="K39" s="83"/>
    </row>
    <row r="40" spans="1:20" ht="15" customHeight="1">
      <c r="A40" s="83"/>
      <c r="B40" s="83"/>
      <c r="C40" s="83"/>
      <c r="G40" s="83"/>
      <c r="H40" s="83"/>
      <c r="I40" s="83"/>
      <c r="J40" s="83"/>
      <c r="K40" s="83"/>
    </row>
    <row r="41" spans="1:20" ht="15" customHeight="1">
      <c r="A41" s="83"/>
      <c r="B41" s="83"/>
      <c r="C41" s="83">
        <f>D3</f>
        <v>2025</v>
      </c>
      <c r="D41" s="83">
        <f>I3</f>
        <v>2024</v>
      </c>
      <c r="H41" s="83"/>
      <c r="I41" s="83">
        <f>D3</f>
        <v>2025</v>
      </c>
      <c r="J41" s="83">
        <f>I3</f>
        <v>2024</v>
      </c>
      <c r="K41" s="83"/>
    </row>
    <row r="42" spans="1:20" ht="15" customHeight="1">
      <c r="A42" s="83"/>
      <c r="B42" s="83" t="str">
        <f>A7</f>
        <v>Říjen</v>
      </c>
      <c r="C42" s="69">
        <f>E13</f>
        <v>61319.272530718001</v>
      </c>
      <c r="D42" s="69">
        <f>I13</f>
        <v>53405.085647103995</v>
      </c>
      <c r="H42" s="83" t="str">
        <f>A7</f>
        <v>Říjen</v>
      </c>
      <c r="I42" s="84">
        <f>E13/E34</f>
        <v>0.22909430367235514</v>
      </c>
      <c r="J42" s="84">
        <f>I13/I34</f>
        <v>0.20375905262175822</v>
      </c>
      <c r="K42" s="83"/>
    </row>
    <row r="43" spans="1:20" ht="15" customHeight="1">
      <c r="A43" s="83"/>
      <c r="B43" s="83" t="str">
        <f>A14</f>
        <v>Listopad</v>
      </c>
      <c r="C43" s="69">
        <f>E20</f>
        <v>94457.477201782996</v>
      </c>
      <c r="D43" s="69">
        <f>I20</f>
        <v>95661.501860338001</v>
      </c>
      <c r="H43" s="83" t="str">
        <f>A14</f>
        <v>Listopad</v>
      </c>
      <c r="I43" s="84">
        <f>E20/E34</f>
        <v>0.3529016094466777</v>
      </c>
      <c r="J43" s="84">
        <f>I20/I34</f>
        <v>0.36498203785755046</v>
      </c>
      <c r="K43" s="83"/>
    </row>
    <row r="44" spans="1:20" ht="15" customHeight="1">
      <c r="A44" s="83"/>
      <c r="B44" s="83" t="str">
        <f>A21</f>
        <v>Prosinec</v>
      </c>
      <c r="C44" s="69">
        <f>E27</f>
        <v>111882.775396571</v>
      </c>
      <c r="D44" s="69">
        <f>I27</f>
        <v>113032.61721472001</v>
      </c>
      <c r="H44" s="83" t="str">
        <f>A21</f>
        <v>Prosinec</v>
      </c>
      <c r="I44" s="84">
        <f>E27/E34</f>
        <v>0.41800408688096702</v>
      </c>
      <c r="J44" s="84">
        <f>I27/I34</f>
        <v>0.43125890952069129</v>
      </c>
      <c r="K44" s="83"/>
    </row>
    <row r="45" spans="1:20" ht="15" customHeight="1">
      <c r="A45" s="83"/>
      <c r="B45" s="83"/>
      <c r="C45" s="69">
        <f>SUM(C42:C44)</f>
        <v>267659.52512907202</v>
      </c>
      <c r="D45" s="69">
        <f>SUM(D42:D44)</f>
        <v>262099.20472216199</v>
      </c>
      <c r="E45" s="83"/>
      <c r="F45" s="83"/>
      <c r="G45" s="83"/>
      <c r="H45" s="83"/>
      <c r="I45" s="85">
        <f>SUM(I42:I44)</f>
        <v>0.99999999999999989</v>
      </c>
      <c r="J45" s="85">
        <f>SUM(J42:J44)</f>
        <v>1</v>
      </c>
      <c r="K45" s="83"/>
    </row>
    <row r="46" spans="1:20" ht="15" customHeight="1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</row>
    <row r="47" spans="1:20" ht="15" customHeight="1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</row>
    <row r="48" spans="1:20" ht="15" customHeight="1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</row>
    <row r="49" spans="1:11" ht="15" customHeight="1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</row>
    <row r="50" spans="1:11" ht="15" customHeight="1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</row>
    <row r="51" spans="1:11" ht="15" customHeight="1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</row>
    <row r="52" spans="1:11" ht="15" customHeight="1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</row>
    <row r="53" spans="1:11" ht="15" customHeight="1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</row>
    <row r="54" spans="1:11" ht="15" customHeight="1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</row>
    <row r="55" spans="1:11" ht="15" customHeight="1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</row>
    <row r="56" spans="1:11" ht="15" customHeight="1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</row>
    <row r="57" spans="1:11" ht="15" customHeight="1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</row>
    <row r="58" spans="1:11" ht="15" customHeight="1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</row>
    <row r="59" spans="1:11" ht="15" customHeight="1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</row>
    <row r="60" spans="1:11" ht="15" customHeight="1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</row>
    <row r="61" spans="1:11" ht="15" customHeight="1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</row>
    <row r="62" spans="1:11" ht="15" customHeight="1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1" ht="15" customHeight="1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1" ht="15" customHeight="1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21">
    <mergeCell ref="D5:D6"/>
    <mergeCell ref="C5:C6"/>
    <mergeCell ref="A5:B6"/>
    <mergeCell ref="A37:E37"/>
    <mergeCell ref="G37:K37"/>
    <mergeCell ref="A7:B13"/>
    <mergeCell ref="A14:B20"/>
    <mergeCell ref="A21:B27"/>
    <mergeCell ref="A28:B34"/>
    <mergeCell ref="A36:E36"/>
    <mergeCell ref="G5:G6"/>
    <mergeCell ref="H5:H6"/>
    <mergeCell ref="K5:K6"/>
    <mergeCell ref="E5:F5"/>
    <mergeCell ref="I5:J5"/>
    <mergeCell ref="G35:K36"/>
    <mergeCell ref="A1:K1"/>
    <mergeCell ref="A2:C2"/>
    <mergeCell ref="E3:G4"/>
    <mergeCell ref="I3:K4"/>
    <mergeCell ref="A3:C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4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5"/>
  <dimension ref="A1:U92"/>
  <sheetViews>
    <sheetView showGridLines="0" topLeftCell="A26" zoomScaleNormal="100" zoomScaleSheetLayoutView="100" workbookViewId="0">
      <selection activeCell="G1" sqref="G1"/>
    </sheetView>
  </sheetViews>
  <sheetFormatPr defaultColWidth="9.1796875" defaultRowHeight="12.5"/>
  <cols>
    <col min="1" max="1" width="9.453125" style="67" customWidth="1"/>
    <col min="2" max="2" width="3.81640625" style="67" customWidth="1"/>
    <col min="3" max="11" width="9.54296875" style="67" customWidth="1"/>
    <col min="12" max="13" width="9.1796875" style="67"/>
    <col min="14" max="14" width="11.1796875" style="67" customWidth="1"/>
    <col min="15" max="16384" width="9.1796875" style="67"/>
  </cols>
  <sheetData>
    <row r="1" spans="1:21" s="76" customFormat="1" ht="18">
      <c r="A1" s="437" t="s">
        <v>284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</row>
    <row r="2" spans="1:21" ht="6" customHeight="1">
      <c r="A2" s="452"/>
      <c r="B2" s="452"/>
      <c r="C2" s="452"/>
      <c r="D2" s="290"/>
      <c r="E2" s="290"/>
      <c r="F2" s="291"/>
      <c r="G2" s="292"/>
      <c r="H2" s="292"/>
      <c r="I2" s="292"/>
      <c r="J2" s="257"/>
      <c r="K2" s="257"/>
    </row>
    <row r="3" spans="1:21" ht="15" customHeight="1">
      <c r="A3" s="463" t="s">
        <v>85</v>
      </c>
      <c r="B3" s="463"/>
      <c r="C3" s="463"/>
      <c r="D3" s="316">
        <f>'3.1'!A4</f>
        <v>2025</v>
      </c>
      <c r="E3" s="458"/>
      <c r="F3" s="458"/>
      <c r="G3" s="458"/>
      <c r="H3" s="315"/>
      <c r="I3" s="457">
        <f>D3-1</f>
        <v>2024</v>
      </c>
      <c r="J3" s="458"/>
      <c r="K3" s="458"/>
    </row>
    <row r="4" spans="1:21" ht="50.15" customHeight="1">
      <c r="A4" s="464"/>
      <c r="B4" s="464"/>
      <c r="C4" s="464"/>
      <c r="D4" s="318"/>
      <c r="E4" s="460"/>
      <c r="F4" s="460"/>
      <c r="G4" s="460"/>
      <c r="H4" s="157"/>
      <c r="I4" s="459"/>
      <c r="J4" s="460"/>
      <c r="K4" s="460"/>
    </row>
    <row r="5" spans="1:21" ht="25" customHeight="1">
      <c r="A5" s="463" t="s">
        <v>155</v>
      </c>
      <c r="B5" s="463"/>
      <c r="C5" s="465" t="s">
        <v>180</v>
      </c>
      <c r="D5" s="461" t="s">
        <v>156</v>
      </c>
      <c r="E5" s="455" t="s">
        <v>59</v>
      </c>
      <c r="F5" s="455"/>
      <c r="G5" s="456" t="s">
        <v>32</v>
      </c>
      <c r="H5" s="456" t="s">
        <v>256</v>
      </c>
      <c r="I5" s="453" t="s">
        <v>59</v>
      </c>
      <c r="J5" s="454"/>
      <c r="K5" s="456" t="s">
        <v>32</v>
      </c>
    </row>
    <row r="6" spans="1:21" ht="22.5" customHeight="1">
      <c r="A6" s="464"/>
      <c r="B6" s="464"/>
      <c r="C6" s="466"/>
      <c r="D6" s="462"/>
      <c r="E6" s="201" t="s">
        <v>247</v>
      </c>
      <c r="F6" s="201" t="s">
        <v>248</v>
      </c>
      <c r="G6" s="442"/>
      <c r="H6" s="442"/>
      <c r="I6" s="203" t="s">
        <v>247</v>
      </c>
      <c r="J6" s="201" t="s">
        <v>248</v>
      </c>
      <c r="K6" s="442"/>
    </row>
    <row r="7" spans="1:21" ht="13" customHeight="1">
      <c r="A7" s="397" t="str">
        <f>'3.1'!D5</f>
        <v>Říjen</v>
      </c>
      <c r="B7" s="397"/>
      <c r="C7" s="147" t="s">
        <v>4</v>
      </c>
      <c r="D7" s="287">
        <v>1209</v>
      </c>
      <c r="E7" s="283">
        <v>258401.80999999997</v>
      </c>
      <c r="F7" s="283">
        <v>2855046.8542900002</v>
      </c>
      <c r="G7" s="284">
        <f t="shared" ref="G7:G12" si="0">E7/$E$13</f>
        <v>0.50001347351142844</v>
      </c>
      <c r="H7" s="284">
        <f>(E7-I7)/I7</f>
        <v>9.4005178545623E-2</v>
      </c>
      <c r="I7" s="287">
        <v>236197.97700000001</v>
      </c>
      <c r="J7" s="283">
        <v>2586484.9746400001</v>
      </c>
      <c r="K7" s="284">
        <f>I7/$I$13</f>
        <v>0.52355769505014227</v>
      </c>
      <c r="M7" s="79"/>
      <c r="N7" s="79"/>
      <c r="O7" s="79"/>
      <c r="P7" s="79"/>
      <c r="Q7" s="79"/>
      <c r="R7" s="79"/>
      <c r="S7" s="79"/>
      <c r="T7" s="79"/>
      <c r="U7" s="79"/>
    </row>
    <row r="8" spans="1:21" ht="13" customHeight="1">
      <c r="A8" s="398"/>
      <c r="B8" s="398"/>
      <c r="C8" s="137" t="s">
        <v>5</v>
      </c>
      <c r="D8" s="288">
        <v>3877</v>
      </c>
      <c r="E8" s="113">
        <v>45048.622000000003</v>
      </c>
      <c r="F8" s="113">
        <v>497735.16940999997</v>
      </c>
      <c r="G8" s="282">
        <f t="shared" si="0"/>
        <v>8.7170124555719472E-2</v>
      </c>
      <c r="H8" s="282">
        <f t="shared" ref="H8:H11" si="1">(E8-I8)/I8</f>
        <v>0.16684352463107197</v>
      </c>
      <c r="I8" s="288">
        <v>38607.252</v>
      </c>
      <c r="J8" s="113">
        <v>422769.33788999991</v>
      </c>
      <c r="K8" s="282">
        <f t="shared" ref="K8:K12" si="2">I8/$I$13</f>
        <v>8.5577040608353708E-2</v>
      </c>
      <c r="L8" s="68"/>
      <c r="M8" s="79"/>
      <c r="N8" s="79"/>
      <c r="O8" s="79"/>
      <c r="P8" s="79"/>
      <c r="Q8" s="79"/>
      <c r="R8" s="79"/>
      <c r="S8" s="79"/>
    </row>
    <row r="9" spans="1:21" ht="13" customHeight="1">
      <c r="A9" s="398"/>
      <c r="B9" s="398"/>
      <c r="C9" s="137" t="s">
        <v>6</v>
      </c>
      <c r="D9" s="288">
        <v>151507</v>
      </c>
      <c r="E9" s="113">
        <v>69642.847999999998</v>
      </c>
      <c r="F9" s="113">
        <v>769476.10748999997</v>
      </c>
      <c r="G9" s="282">
        <f t="shared" si="0"/>
        <v>0.13476052019027437</v>
      </c>
      <c r="H9" s="282">
        <f t="shared" si="1"/>
        <v>0.18010952846097145</v>
      </c>
      <c r="I9" s="288">
        <v>59013.885000000002</v>
      </c>
      <c r="J9" s="113">
        <v>646233.79571999994</v>
      </c>
      <c r="K9" s="282">
        <f t="shared" si="2"/>
        <v>0.13081049210914353</v>
      </c>
      <c r="L9" s="68"/>
      <c r="M9" s="79"/>
      <c r="N9" s="79"/>
      <c r="O9" s="79"/>
      <c r="P9" s="79"/>
      <c r="Q9" s="79"/>
      <c r="R9" s="79"/>
      <c r="S9" s="79"/>
    </row>
    <row r="10" spans="1:21" ht="13" customHeight="1">
      <c r="A10" s="398"/>
      <c r="B10" s="398"/>
      <c r="C10" s="137" t="s">
        <v>7</v>
      </c>
      <c r="D10" s="288">
        <v>2033546</v>
      </c>
      <c r="E10" s="113">
        <v>132249.80000000002</v>
      </c>
      <c r="F10" s="113">
        <v>1461210.0999999999</v>
      </c>
      <c r="G10" s="282">
        <f t="shared" si="0"/>
        <v>0.25590641903472633</v>
      </c>
      <c r="H10" s="282">
        <f t="shared" si="1"/>
        <v>0.23290286266680338</v>
      </c>
      <c r="I10" s="288">
        <v>107267.00699999998</v>
      </c>
      <c r="J10" s="113">
        <v>1174623.3589999999</v>
      </c>
      <c r="K10" s="282">
        <f t="shared" si="2"/>
        <v>0.23776861958410198</v>
      </c>
      <c r="L10" s="68"/>
      <c r="M10" s="79"/>
      <c r="N10" s="79"/>
      <c r="O10" s="79"/>
      <c r="P10" s="79"/>
      <c r="Q10" s="79"/>
      <c r="R10" s="79"/>
      <c r="S10" s="79"/>
    </row>
    <row r="11" spans="1:21" ht="13" customHeight="1">
      <c r="A11" s="398"/>
      <c r="B11" s="398"/>
      <c r="C11" s="137" t="s">
        <v>90</v>
      </c>
      <c r="D11" s="288">
        <v>214</v>
      </c>
      <c r="E11" s="113">
        <v>6234.9369999999999</v>
      </c>
      <c r="F11" s="113">
        <v>68888.989490000007</v>
      </c>
      <c r="G11" s="282">
        <f t="shared" si="0"/>
        <v>1.2064747172223467E-2</v>
      </c>
      <c r="H11" s="282">
        <f t="shared" si="1"/>
        <v>-2.1709482280602582E-2</v>
      </c>
      <c r="I11" s="288">
        <v>6373.2979999999998</v>
      </c>
      <c r="J11" s="113">
        <v>69790.787089999998</v>
      </c>
      <c r="K11" s="282">
        <f t="shared" si="2"/>
        <v>1.4127086324484827E-2</v>
      </c>
      <c r="L11" s="68"/>
      <c r="M11" s="79"/>
      <c r="N11" s="79"/>
      <c r="O11" s="79"/>
      <c r="P11" s="79"/>
      <c r="Q11" s="79"/>
      <c r="R11" s="79"/>
      <c r="S11" s="79"/>
    </row>
    <row r="12" spans="1:21" ht="13" customHeight="1">
      <c r="A12" s="398"/>
      <c r="B12" s="398"/>
      <c r="C12" s="137" t="s">
        <v>91</v>
      </c>
      <c r="D12" s="288"/>
      <c r="E12" s="113">
        <v>5211.677056302</v>
      </c>
      <c r="F12" s="113">
        <v>57583.124150000003</v>
      </c>
      <c r="G12" s="282">
        <f t="shared" si="0"/>
        <v>1.0084715535627942E-2</v>
      </c>
      <c r="H12" s="282">
        <f>(E12-I12)/I12</f>
        <v>0.41587660761187523</v>
      </c>
      <c r="I12" s="288">
        <v>3680.8836506539997</v>
      </c>
      <c r="J12" s="113">
        <v>40307.498999999996</v>
      </c>
      <c r="K12" s="282">
        <f t="shared" si="2"/>
        <v>8.1590663237736411E-3</v>
      </c>
      <c r="L12" s="68"/>
      <c r="M12" s="79"/>
      <c r="N12" s="79"/>
      <c r="O12" s="79"/>
      <c r="P12" s="79"/>
      <c r="Q12" s="79"/>
      <c r="R12" s="79"/>
      <c r="S12" s="79"/>
    </row>
    <row r="13" spans="1:21" ht="13" customHeight="1">
      <c r="A13" s="399"/>
      <c r="B13" s="399"/>
      <c r="C13" s="293" t="s">
        <v>0</v>
      </c>
      <c r="D13" s="296">
        <v>2190353</v>
      </c>
      <c r="E13" s="294">
        <v>516789.69405630196</v>
      </c>
      <c r="F13" s="294">
        <v>5709940.3448299989</v>
      </c>
      <c r="G13" s="295">
        <f>SUM(G7:G12)</f>
        <v>1</v>
      </c>
      <c r="H13" s="295">
        <f>(E13-I13)/I13</f>
        <v>0.14551879098348786</v>
      </c>
      <c r="I13" s="296">
        <v>451140.30265065399</v>
      </c>
      <c r="J13" s="294">
        <v>4940209.7533399994</v>
      </c>
      <c r="K13" s="295">
        <f>SUM(K7:K12)</f>
        <v>0.99999999999999989</v>
      </c>
      <c r="L13" s="68"/>
      <c r="M13" s="79"/>
      <c r="N13" s="79"/>
      <c r="O13" s="79"/>
      <c r="P13" s="79"/>
      <c r="Q13" s="79"/>
      <c r="R13" s="79"/>
      <c r="S13" s="79"/>
    </row>
    <row r="14" spans="1:21" ht="13" customHeight="1">
      <c r="A14" s="397" t="str">
        <f>'3.1'!E5</f>
        <v>Listopad</v>
      </c>
      <c r="B14" s="397"/>
      <c r="C14" s="147" t="s">
        <v>4</v>
      </c>
      <c r="D14" s="287">
        <v>1212</v>
      </c>
      <c r="E14" s="283">
        <v>284272.01400000002</v>
      </c>
      <c r="F14" s="283">
        <v>3129392.0727599999</v>
      </c>
      <c r="G14" s="284">
        <f>E14/$E$20</f>
        <v>0.42083527279196814</v>
      </c>
      <c r="H14" s="284">
        <f>(E14-I14)/I14</f>
        <v>-5.3261751942313236E-3</v>
      </c>
      <c r="I14" s="287">
        <v>285794.20399999991</v>
      </c>
      <c r="J14" s="283">
        <v>3119455.5661199996</v>
      </c>
      <c r="K14" s="284">
        <f>I14/$I$20</f>
        <v>0.4230633094255572</v>
      </c>
      <c r="L14" s="68"/>
      <c r="M14" s="79"/>
      <c r="N14" s="79"/>
      <c r="O14" s="79"/>
      <c r="P14" s="79"/>
      <c r="Q14" s="79"/>
      <c r="R14" s="79"/>
      <c r="S14" s="79"/>
    </row>
    <row r="15" spans="1:21" ht="13" customHeight="1">
      <c r="A15" s="398"/>
      <c r="B15" s="398"/>
      <c r="C15" s="137" t="s">
        <v>5</v>
      </c>
      <c r="D15" s="288">
        <v>3882</v>
      </c>
      <c r="E15" s="113">
        <v>60292.138000000006</v>
      </c>
      <c r="F15" s="113">
        <v>663720.82029000006</v>
      </c>
      <c r="G15" s="282">
        <f t="shared" ref="G15:G19" si="3">E15/$E$20</f>
        <v>8.9256265452993158E-2</v>
      </c>
      <c r="H15" s="282">
        <f t="shared" ref="H15:H17" si="4">(E15-I15)/I15</f>
        <v>4.012253309590838E-2</v>
      </c>
      <c r="I15" s="288">
        <v>57966.380000000005</v>
      </c>
      <c r="J15" s="113">
        <v>632705.87391000008</v>
      </c>
      <c r="K15" s="282">
        <f t="shared" ref="K15:K19" si="5">I15/$I$20</f>
        <v>8.5808068235769544E-2</v>
      </c>
      <c r="L15" s="86"/>
      <c r="M15" s="79"/>
      <c r="N15" s="79"/>
      <c r="O15" s="79"/>
      <c r="P15" s="79"/>
      <c r="Q15" s="79"/>
      <c r="R15" s="79"/>
      <c r="S15" s="79"/>
    </row>
    <row r="16" spans="1:21" ht="13" customHeight="1">
      <c r="A16" s="398"/>
      <c r="B16" s="398"/>
      <c r="C16" s="137" t="s">
        <v>6</v>
      </c>
      <c r="D16" s="288">
        <v>151570</v>
      </c>
      <c r="E16" s="113">
        <v>107616.05500000001</v>
      </c>
      <c r="F16" s="113">
        <v>1184689.1377700001</v>
      </c>
      <c r="G16" s="282">
        <f t="shared" si="3"/>
        <v>0.15931442292001508</v>
      </c>
      <c r="H16" s="282">
        <f t="shared" si="4"/>
        <v>-1.9751715923215875E-2</v>
      </c>
      <c r="I16" s="288">
        <v>109784.48699999999</v>
      </c>
      <c r="J16" s="113">
        <v>1198300.6507900001</v>
      </c>
      <c r="K16" s="282">
        <f>I16/$I$20</f>
        <v>0.16251480171307839</v>
      </c>
      <c r="L16" s="68"/>
      <c r="M16" s="79"/>
      <c r="N16" s="79"/>
      <c r="O16" s="79"/>
      <c r="P16" s="79"/>
      <c r="Q16" s="79"/>
      <c r="R16" s="79"/>
      <c r="S16" s="79"/>
    </row>
    <row r="17" spans="1:20" ht="13" customHeight="1">
      <c r="A17" s="398"/>
      <c r="B17" s="398"/>
      <c r="C17" s="137" t="s">
        <v>7</v>
      </c>
      <c r="D17" s="288">
        <v>2032493</v>
      </c>
      <c r="E17" s="113">
        <v>206508.60000000003</v>
      </c>
      <c r="F17" s="113">
        <v>2273336.1000000006</v>
      </c>
      <c r="G17" s="282">
        <f t="shared" si="3"/>
        <v>0.3057145928367308</v>
      </c>
      <c r="H17" s="282">
        <f t="shared" si="4"/>
        <v>-7.1262767391632393E-3</v>
      </c>
      <c r="I17" s="288">
        <v>207990.8</v>
      </c>
      <c r="J17" s="113">
        <v>2270228.4000000004</v>
      </c>
      <c r="K17" s="282">
        <f>I17/$I$20</f>
        <v>0.30789034538317372</v>
      </c>
      <c r="L17" s="68"/>
      <c r="M17" s="79"/>
      <c r="N17" s="79"/>
      <c r="O17" s="79"/>
      <c r="P17" s="79"/>
      <c r="Q17" s="79"/>
      <c r="R17" s="79"/>
      <c r="S17" s="79"/>
    </row>
    <row r="18" spans="1:20" ht="13" customHeight="1">
      <c r="A18" s="398"/>
      <c r="B18" s="398"/>
      <c r="C18" s="137" t="s">
        <v>90</v>
      </c>
      <c r="D18" s="288">
        <v>214</v>
      </c>
      <c r="E18" s="113">
        <v>6167.5719999999992</v>
      </c>
      <c r="F18" s="113">
        <v>67895.356919999991</v>
      </c>
      <c r="G18" s="282">
        <f t="shared" si="3"/>
        <v>9.1304515297242865E-3</v>
      </c>
      <c r="H18" s="282">
        <f>(E18-I18)/I18</f>
        <v>-2.120240488594826E-2</v>
      </c>
      <c r="I18" s="288">
        <v>6301.1719999999996</v>
      </c>
      <c r="J18" s="113">
        <v>68777.564519999985</v>
      </c>
      <c r="K18" s="282">
        <f>I18/$I$20</f>
        <v>9.3276722979996392E-3</v>
      </c>
      <c r="L18" s="68"/>
      <c r="M18" s="79"/>
      <c r="N18" s="79"/>
      <c r="O18" s="79"/>
      <c r="P18" s="79"/>
      <c r="Q18" s="79"/>
      <c r="R18" s="79"/>
      <c r="S18" s="79"/>
    </row>
    <row r="19" spans="1:20" ht="13" customHeight="1">
      <c r="A19" s="398"/>
      <c r="B19" s="398"/>
      <c r="C19" s="137" t="s">
        <v>91</v>
      </c>
      <c r="D19" s="288"/>
      <c r="E19" s="113">
        <v>10638.362954589998</v>
      </c>
      <c r="F19" s="113">
        <v>117111.81117</v>
      </c>
      <c r="G19" s="282">
        <f t="shared" si="3"/>
        <v>1.5748994468568579E-2</v>
      </c>
      <c r="H19" s="282">
        <f t="shared" ref="H19" si="6">(E19-I19)/I19</f>
        <v>0.38191654959739113</v>
      </c>
      <c r="I19" s="288">
        <v>7698.2672779260001</v>
      </c>
      <c r="J19" s="113">
        <v>84026.895479999992</v>
      </c>
      <c r="K19" s="282">
        <f t="shared" si="5"/>
        <v>1.139580294442168E-2</v>
      </c>
      <c r="L19" s="68"/>
      <c r="M19" s="79"/>
      <c r="N19" s="79"/>
      <c r="O19" s="79"/>
      <c r="P19" s="79"/>
      <c r="Q19" s="79"/>
      <c r="R19" s="79"/>
      <c r="S19" s="79"/>
    </row>
    <row r="20" spans="1:20" ht="13" customHeight="1">
      <c r="A20" s="399"/>
      <c r="B20" s="399"/>
      <c r="C20" s="293" t="s">
        <v>0</v>
      </c>
      <c r="D20" s="296">
        <v>2189371</v>
      </c>
      <c r="E20" s="294">
        <v>675494.74195459008</v>
      </c>
      <c r="F20" s="294">
        <v>7436145.2989100004</v>
      </c>
      <c r="G20" s="295">
        <f>SUM(G14:G19)</f>
        <v>1</v>
      </c>
      <c r="H20" s="295">
        <f>(E20-I20)/I20</f>
        <v>-6.0053594117880085E-5</v>
      </c>
      <c r="I20" s="296">
        <v>675535.3102779258</v>
      </c>
      <c r="J20" s="294">
        <v>7373494.9508199999</v>
      </c>
      <c r="K20" s="295">
        <f>SUM(K14:K19)</f>
        <v>1.0000000000000002</v>
      </c>
      <c r="L20" s="68"/>
      <c r="M20" s="79"/>
      <c r="N20" s="79"/>
      <c r="O20" s="79"/>
      <c r="P20" s="79"/>
      <c r="Q20" s="79"/>
      <c r="R20" s="79"/>
      <c r="S20" s="79"/>
    </row>
    <row r="21" spans="1:20" ht="13" customHeight="1">
      <c r="A21" s="397" t="str">
        <f>'3.1'!F5</f>
        <v>Prosinec</v>
      </c>
      <c r="B21" s="397"/>
      <c r="C21" s="147" t="s">
        <v>4</v>
      </c>
      <c r="D21" s="287">
        <v>1211</v>
      </c>
      <c r="E21" s="283">
        <v>284897.288</v>
      </c>
      <c r="F21" s="283">
        <v>3127381.78902</v>
      </c>
      <c r="G21" s="284">
        <f>E21/$E$27</f>
        <v>0.37850860786915347</v>
      </c>
      <c r="H21" s="284">
        <f>(E21-I21)/I21</f>
        <v>4.1021222251048052E-3</v>
      </c>
      <c r="I21" s="287">
        <v>283733.37900000002</v>
      </c>
      <c r="J21" s="283">
        <v>3088869.8069599997</v>
      </c>
      <c r="K21" s="284">
        <f>I21/$I$27</f>
        <v>0.37377894425035052</v>
      </c>
      <c r="L21" s="78"/>
      <c r="M21" s="79"/>
      <c r="N21" s="79"/>
      <c r="O21" s="79"/>
      <c r="P21" s="79"/>
      <c r="Q21" s="79"/>
      <c r="R21" s="79"/>
      <c r="S21" s="79"/>
      <c r="T21" s="78"/>
    </row>
    <row r="22" spans="1:20" ht="13" customHeight="1">
      <c r="A22" s="398"/>
      <c r="B22" s="398"/>
      <c r="C22" s="137" t="s">
        <v>5</v>
      </c>
      <c r="D22" s="288">
        <v>3884</v>
      </c>
      <c r="E22" s="113">
        <v>63488.421000000002</v>
      </c>
      <c r="F22" s="113">
        <v>696926.71577000013</v>
      </c>
      <c r="G22" s="282">
        <f t="shared" ref="G22:G26" si="7">E22/$E$27</f>
        <v>8.4349394889714532E-2</v>
      </c>
      <c r="H22" s="282">
        <f t="shared" ref="H22:H26" si="8">(E22-I22)/I22</f>
        <v>-1.5204311331487646E-2</v>
      </c>
      <c r="I22" s="288">
        <v>64468.621999999996</v>
      </c>
      <c r="J22" s="113">
        <v>701840.45065000001</v>
      </c>
      <c r="K22" s="282">
        <f t="shared" ref="K22:K26" si="9">I22/$I$27</f>
        <v>8.4928370265646175E-2</v>
      </c>
      <c r="L22" s="78"/>
      <c r="M22" s="79"/>
      <c r="N22" s="79"/>
      <c r="O22" s="79"/>
      <c r="P22" s="79"/>
      <c r="Q22" s="79"/>
      <c r="R22" s="79"/>
      <c r="S22" s="79"/>
      <c r="T22" s="78"/>
    </row>
    <row r="23" spans="1:20" ht="13" customHeight="1">
      <c r="A23" s="398"/>
      <c r="B23" s="398"/>
      <c r="C23" s="137" t="s">
        <v>6</v>
      </c>
      <c r="D23" s="288">
        <v>151649</v>
      </c>
      <c r="E23" s="113">
        <v>130006.735</v>
      </c>
      <c r="F23" s="113">
        <v>1427112.54419</v>
      </c>
      <c r="G23" s="282">
        <f t="shared" si="7"/>
        <v>0.17272424256444291</v>
      </c>
      <c r="H23" s="282">
        <f t="shared" si="8"/>
        <v>-2.2977903317444093E-2</v>
      </c>
      <c r="I23" s="288">
        <v>133064.27299999999</v>
      </c>
      <c r="J23" s="113">
        <v>1448608.1063999999</v>
      </c>
      <c r="K23" s="282">
        <f t="shared" si="9"/>
        <v>0.17529352258332784</v>
      </c>
      <c r="L23" s="78"/>
      <c r="M23" s="79"/>
      <c r="N23" s="79"/>
      <c r="O23" s="79"/>
      <c r="P23" s="79"/>
      <c r="Q23" s="79"/>
      <c r="R23" s="79"/>
      <c r="S23" s="79"/>
      <c r="T23" s="78"/>
    </row>
    <row r="24" spans="1:20" ht="13" customHeight="1">
      <c r="A24" s="398"/>
      <c r="B24" s="398"/>
      <c r="C24" s="137" t="s">
        <v>7</v>
      </c>
      <c r="D24" s="288">
        <v>2031660</v>
      </c>
      <c r="E24" s="113">
        <v>253992.40000000002</v>
      </c>
      <c r="F24" s="113">
        <v>2788132.3000000003</v>
      </c>
      <c r="G24" s="282">
        <f t="shared" si="7"/>
        <v>0.33744901683074352</v>
      </c>
      <c r="H24" s="282">
        <f t="shared" si="8"/>
        <v>-3.0584819114691113E-2</v>
      </c>
      <c r="I24" s="288">
        <v>262005.79999999996</v>
      </c>
      <c r="J24" s="113">
        <v>2852331.9</v>
      </c>
      <c r="K24" s="282">
        <f t="shared" si="9"/>
        <v>0.34515590536659585</v>
      </c>
      <c r="L24" s="78"/>
      <c r="M24" s="79"/>
      <c r="N24" s="79"/>
      <c r="O24" s="79"/>
      <c r="P24" s="79"/>
      <c r="Q24" s="79"/>
      <c r="R24" s="79"/>
      <c r="S24" s="79"/>
      <c r="T24" s="78"/>
    </row>
    <row r="25" spans="1:20" ht="13" customHeight="1">
      <c r="A25" s="398"/>
      <c r="B25" s="398"/>
      <c r="C25" s="137" t="s">
        <v>90</v>
      </c>
      <c r="D25" s="288">
        <v>214</v>
      </c>
      <c r="E25" s="113">
        <v>5813.5170000000007</v>
      </c>
      <c r="F25" s="113">
        <v>63816.299740000002</v>
      </c>
      <c r="G25" s="282">
        <f t="shared" si="7"/>
        <v>7.7237177017060897E-3</v>
      </c>
      <c r="H25" s="282">
        <f t="shared" si="8"/>
        <v>-2.5684088940612287E-2</v>
      </c>
      <c r="I25" s="288">
        <v>5966.768</v>
      </c>
      <c r="J25" s="113">
        <v>64957.371230000012</v>
      </c>
      <c r="K25" s="282">
        <f t="shared" si="9"/>
        <v>7.8603802326224562E-3</v>
      </c>
      <c r="L25" s="78"/>
      <c r="M25" s="79"/>
      <c r="N25" s="79"/>
      <c r="O25" s="79"/>
      <c r="P25" s="79"/>
      <c r="Q25" s="79"/>
      <c r="R25" s="79"/>
      <c r="S25" s="79"/>
      <c r="T25" s="78"/>
    </row>
    <row r="26" spans="1:20" ht="13" customHeight="1">
      <c r="A26" s="398"/>
      <c r="B26" s="398"/>
      <c r="C26" s="137" t="s">
        <v>91</v>
      </c>
      <c r="D26" s="288"/>
      <c r="E26" s="113">
        <v>14485.414420203999</v>
      </c>
      <c r="F26" s="113">
        <v>159009.65613000002</v>
      </c>
      <c r="G26" s="282">
        <f t="shared" si="7"/>
        <v>1.924502014423941E-2</v>
      </c>
      <c r="H26" s="282">
        <f t="shared" si="8"/>
        <v>0.46982075228616133</v>
      </c>
      <c r="I26" s="288">
        <v>9855.2251338629994</v>
      </c>
      <c r="J26" s="113">
        <v>107289.15817</v>
      </c>
      <c r="K26" s="282">
        <f t="shared" si="9"/>
        <v>1.2982877301457123E-2</v>
      </c>
      <c r="L26" s="78"/>
      <c r="M26" s="79"/>
      <c r="N26" s="79"/>
      <c r="O26" s="79"/>
      <c r="P26" s="79"/>
      <c r="Q26" s="79"/>
      <c r="R26" s="79"/>
      <c r="S26" s="79"/>
      <c r="T26" s="78"/>
    </row>
    <row r="27" spans="1:20" ht="13" customHeight="1">
      <c r="A27" s="399"/>
      <c r="B27" s="399"/>
      <c r="C27" s="293" t="s">
        <v>0</v>
      </c>
      <c r="D27" s="296">
        <v>2188618</v>
      </c>
      <c r="E27" s="294">
        <v>752683.77542020404</v>
      </c>
      <c r="F27" s="294">
        <v>8262379.30485</v>
      </c>
      <c r="G27" s="295">
        <f>SUM(G21:G26)</f>
        <v>1</v>
      </c>
      <c r="H27" s="295">
        <f>(E27-I27)/I27</f>
        <v>-8.4446605384000794E-3</v>
      </c>
      <c r="I27" s="296">
        <v>759094.06713386299</v>
      </c>
      <c r="J27" s="294">
        <v>8263896.7934099985</v>
      </c>
      <c r="K27" s="295">
        <f>SUM(K21:K26)</f>
        <v>1</v>
      </c>
      <c r="M27" s="79"/>
      <c r="N27" s="79"/>
      <c r="O27" s="79"/>
      <c r="P27" s="79"/>
      <c r="Q27" s="79"/>
      <c r="R27" s="79"/>
      <c r="S27" s="79"/>
    </row>
    <row r="28" spans="1:20" ht="13" customHeight="1">
      <c r="A28" s="467" t="str">
        <f>'3.1'!G5</f>
        <v>IV. čtvrtletí</v>
      </c>
      <c r="B28" s="397"/>
      <c r="C28" s="147" t="s">
        <v>4</v>
      </c>
      <c r="D28" s="287">
        <f>D21</f>
        <v>1211</v>
      </c>
      <c r="E28" s="283">
        <f>E7+E14+E21</f>
        <v>827571.11199999996</v>
      </c>
      <c r="F28" s="283">
        <f>F7+F14+F21</f>
        <v>9111820.7160700001</v>
      </c>
      <c r="G28" s="284">
        <f>E28/$E$34</f>
        <v>0.42549338705699363</v>
      </c>
      <c r="H28" s="284">
        <f>(E28-I28)/I28</f>
        <v>2.7112894370634123E-2</v>
      </c>
      <c r="I28" s="287">
        <f>I7+I14+I21</f>
        <v>805725.55999999994</v>
      </c>
      <c r="J28" s="283">
        <f>J7+J14+J21</f>
        <v>8794810.347719999</v>
      </c>
      <c r="K28" s="284">
        <f>I28/$I$34</f>
        <v>0.42726615477947455</v>
      </c>
      <c r="M28" s="79"/>
      <c r="N28" s="79"/>
      <c r="O28" s="79"/>
      <c r="P28" s="79"/>
      <c r="Q28" s="79"/>
      <c r="R28" s="79"/>
      <c r="S28" s="79"/>
    </row>
    <row r="29" spans="1:20" ht="13" customHeight="1">
      <c r="A29" s="398"/>
      <c r="B29" s="398"/>
      <c r="C29" s="137" t="s">
        <v>5</v>
      </c>
      <c r="D29" s="288">
        <f t="shared" ref="D29:D32" si="10">D22</f>
        <v>3884</v>
      </c>
      <c r="E29" s="113">
        <f>E8+E15+E22</f>
        <v>168829.18100000001</v>
      </c>
      <c r="F29" s="113">
        <f t="shared" ref="F29" si="11">F8+F15+F22</f>
        <v>1858382.7054700002</v>
      </c>
      <c r="G29" s="282">
        <f t="shared" ref="G29:G33" si="12">E29/$E$34</f>
        <v>8.6803054161886023E-2</v>
      </c>
      <c r="H29" s="282">
        <f t="shared" ref="H29:H31" si="13">(E29-I29)/I29</f>
        <v>4.8353316018540052E-2</v>
      </c>
      <c r="I29" s="288">
        <f>I8+I15+I22</f>
        <v>161042.25400000002</v>
      </c>
      <c r="J29" s="113">
        <f t="shared" ref="J29" si="14">J8+J15+J22</f>
        <v>1757315.6624499999</v>
      </c>
      <c r="K29" s="282">
        <f t="shared" ref="K29:K33" si="15">I29/$I$34</f>
        <v>8.5398686649086147E-2</v>
      </c>
      <c r="M29" s="79"/>
      <c r="N29" s="79"/>
      <c r="O29" s="79"/>
      <c r="P29" s="79"/>
      <c r="Q29" s="79"/>
      <c r="R29" s="79"/>
      <c r="S29" s="79"/>
    </row>
    <row r="30" spans="1:20" ht="13" customHeight="1">
      <c r="A30" s="398"/>
      <c r="B30" s="398"/>
      <c r="C30" s="137" t="s">
        <v>6</v>
      </c>
      <c r="D30" s="288">
        <f t="shared" si="10"/>
        <v>151649</v>
      </c>
      <c r="E30" s="113">
        <f t="shared" ref="E30:F33" si="16">E9+E16+E23</f>
        <v>307265.63799999998</v>
      </c>
      <c r="F30" s="113">
        <f t="shared" si="16"/>
        <v>3381277.78945</v>
      </c>
      <c r="G30" s="282">
        <f t="shared" si="12"/>
        <v>0.1579797737536881</v>
      </c>
      <c r="H30" s="282">
        <f t="shared" si="13"/>
        <v>1.7898846013225514E-2</v>
      </c>
      <c r="I30" s="288">
        <f t="shared" ref="I30:J32" si="17">I9+I16+I23</f>
        <v>301862.64500000002</v>
      </c>
      <c r="J30" s="113">
        <f t="shared" si="17"/>
        <v>3293142.5529100001</v>
      </c>
      <c r="K30" s="282">
        <f t="shared" si="15"/>
        <v>0.16007397307925988</v>
      </c>
      <c r="M30" s="79"/>
      <c r="N30" s="79"/>
      <c r="O30" s="79"/>
      <c r="P30" s="79"/>
      <c r="Q30" s="79"/>
      <c r="R30" s="79"/>
      <c r="S30" s="79"/>
    </row>
    <row r="31" spans="1:20" ht="13" customHeight="1">
      <c r="A31" s="398"/>
      <c r="B31" s="398"/>
      <c r="C31" s="137" t="s">
        <v>7</v>
      </c>
      <c r="D31" s="288">
        <f t="shared" si="10"/>
        <v>2031660</v>
      </c>
      <c r="E31" s="113">
        <f>E10+E17+E24</f>
        <v>592750.80000000005</v>
      </c>
      <c r="F31" s="113">
        <f t="shared" si="16"/>
        <v>6522678.5</v>
      </c>
      <c r="G31" s="282">
        <f t="shared" si="12"/>
        <v>0.30476117630933286</v>
      </c>
      <c r="H31" s="282">
        <f t="shared" si="13"/>
        <v>2.682863220927088E-2</v>
      </c>
      <c r="I31" s="288">
        <f>I10+I17+I24</f>
        <v>577263.60699999996</v>
      </c>
      <c r="J31" s="113">
        <f t="shared" si="17"/>
        <v>6297183.659</v>
      </c>
      <c r="K31" s="282">
        <f t="shared" si="15"/>
        <v>0.30611564768656435</v>
      </c>
      <c r="M31" s="79"/>
      <c r="N31" s="79"/>
      <c r="O31" s="79"/>
      <c r="P31" s="79"/>
      <c r="Q31" s="79"/>
      <c r="R31" s="79"/>
      <c r="S31" s="79"/>
    </row>
    <row r="32" spans="1:20" ht="13" customHeight="1">
      <c r="A32" s="398"/>
      <c r="B32" s="398"/>
      <c r="C32" s="137" t="s">
        <v>90</v>
      </c>
      <c r="D32" s="288">
        <f t="shared" si="10"/>
        <v>214</v>
      </c>
      <c r="E32" s="113">
        <f>E11+E18+E25</f>
        <v>18216.025999999998</v>
      </c>
      <c r="F32" s="113">
        <f t="shared" si="16"/>
        <v>200600.64614999999</v>
      </c>
      <c r="G32" s="282">
        <f t="shared" si="12"/>
        <v>9.3657191376905619E-3</v>
      </c>
      <c r="H32" s="282">
        <f>(E32-I32)/I32</f>
        <v>-2.2810287599997359E-2</v>
      </c>
      <c r="I32" s="288">
        <f>I11+I18+I25</f>
        <v>18641.237999999998</v>
      </c>
      <c r="J32" s="113">
        <f t="shared" si="17"/>
        <v>203525.72284</v>
      </c>
      <c r="K32" s="282">
        <f t="shared" si="15"/>
        <v>9.8852146140045779E-3</v>
      </c>
      <c r="M32" s="79"/>
      <c r="N32" s="79"/>
      <c r="O32" s="79"/>
      <c r="P32" s="79"/>
      <c r="Q32" s="79"/>
      <c r="R32" s="79"/>
      <c r="S32" s="79"/>
    </row>
    <row r="33" spans="1:20" ht="13" customHeight="1">
      <c r="A33" s="398"/>
      <c r="B33" s="398"/>
      <c r="C33" s="137" t="s">
        <v>91</v>
      </c>
      <c r="D33" s="288"/>
      <c r="E33" s="113">
        <f t="shared" si="16"/>
        <v>30335.454431095997</v>
      </c>
      <c r="F33" s="113">
        <f t="shared" si="16"/>
        <v>333704.59145000001</v>
      </c>
      <c r="G33" s="282">
        <f t="shared" si="12"/>
        <v>1.5596889580408797E-2</v>
      </c>
      <c r="H33" s="282">
        <f t="shared" ref="H33" si="18">(E33-I33)/I33</f>
        <v>0.42860116736606035</v>
      </c>
      <c r="I33" s="288">
        <f t="shared" ref="I33:J33" si="19">I12+I19+I26</f>
        <v>21234.376062443</v>
      </c>
      <c r="J33" s="113">
        <f t="shared" si="19"/>
        <v>231623.55264999997</v>
      </c>
      <c r="K33" s="282">
        <f t="shared" si="15"/>
        <v>1.1260323191610478E-2</v>
      </c>
      <c r="M33" s="79"/>
      <c r="N33" s="79"/>
      <c r="O33" s="79"/>
      <c r="P33" s="79"/>
      <c r="Q33" s="79"/>
      <c r="R33" s="79"/>
      <c r="S33" s="79"/>
    </row>
    <row r="34" spans="1:20" ht="13" customHeight="1">
      <c r="A34" s="399"/>
      <c r="B34" s="399"/>
      <c r="C34" s="293" t="s">
        <v>0</v>
      </c>
      <c r="D34" s="296">
        <f>SUM(D28:D33)</f>
        <v>2188618</v>
      </c>
      <c r="E34" s="294">
        <f>SUM(E28:E33)</f>
        <v>1944968.2114310961</v>
      </c>
      <c r="F34" s="294">
        <f>SUM(F28:F33)</f>
        <v>21408464.948589999</v>
      </c>
      <c r="G34" s="295">
        <f>SUM(G28:G33)</f>
        <v>1</v>
      </c>
      <c r="H34" s="295">
        <f>(E34-I34)/I34</f>
        <v>3.139223840246113E-2</v>
      </c>
      <c r="I34" s="296">
        <f>SUM(I28:I33)</f>
        <v>1885769.680062443</v>
      </c>
      <c r="J34" s="294">
        <f>SUM(J28:J33)</f>
        <v>20577601.497570001</v>
      </c>
      <c r="K34" s="295">
        <f>SUM(K28:K33)</f>
        <v>1</v>
      </c>
      <c r="M34" s="79"/>
      <c r="N34" s="79"/>
      <c r="O34" s="79"/>
      <c r="P34" s="79"/>
      <c r="Q34" s="79"/>
      <c r="R34" s="79"/>
      <c r="S34" s="79"/>
    </row>
    <row r="35" spans="1:20" ht="20.149999999999999" customHeight="1">
      <c r="A35" s="110"/>
      <c r="B35" s="278"/>
      <c r="C35" s="90"/>
      <c r="D35" s="78"/>
      <c r="E35" s="78"/>
      <c r="F35" s="78"/>
      <c r="G35" s="451" t="s">
        <v>258</v>
      </c>
      <c r="H35" s="451"/>
      <c r="I35" s="451"/>
      <c r="J35" s="451"/>
      <c r="K35" s="451"/>
    </row>
    <row r="36" spans="1:20" ht="15" customHeight="1">
      <c r="A36" s="443" t="s">
        <v>257</v>
      </c>
      <c r="B36" s="443"/>
      <c r="C36" s="443"/>
      <c r="D36" s="443"/>
      <c r="E36" s="443"/>
      <c r="F36" s="104"/>
      <c r="G36" s="451"/>
      <c r="H36" s="451"/>
      <c r="I36" s="451"/>
      <c r="J36" s="451"/>
      <c r="K36" s="451"/>
      <c r="M36" s="68"/>
      <c r="N36" s="68"/>
      <c r="O36" s="68"/>
      <c r="P36" s="68"/>
      <c r="Q36" s="68"/>
      <c r="R36" s="68"/>
      <c r="S36" s="68"/>
    </row>
    <row r="37" spans="1:20" ht="15" customHeight="1">
      <c r="A37" s="444" t="str">
        <f>A28</f>
        <v>IV. čtvrtletí</v>
      </c>
      <c r="B37" s="445"/>
      <c r="C37" s="445"/>
      <c r="D37" s="445"/>
      <c r="E37" s="445"/>
      <c r="F37" s="109"/>
      <c r="G37" s="446" t="str">
        <f>A28</f>
        <v>IV. čtvrtletí</v>
      </c>
      <c r="H37" s="446"/>
      <c r="I37" s="446"/>
      <c r="J37" s="446"/>
      <c r="K37" s="446"/>
      <c r="M37" s="68"/>
      <c r="N37" s="68"/>
      <c r="O37" s="68"/>
      <c r="P37" s="68"/>
      <c r="Q37" s="68"/>
      <c r="R37" s="68"/>
      <c r="S37" s="68"/>
    </row>
    <row r="38" spans="1:20" ht="15" customHeight="1">
      <c r="A38" s="83"/>
      <c r="B38" s="83"/>
      <c r="C38" s="83"/>
      <c r="G38" s="83"/>
      <c r="H38" s="83"/>
      <c r="I38" s="83"/>
      <c r="J38" s="83"/>
      <c r="K38" s="83"/>
      <c r="M38" s="68"/>
      <c r="N38" s="68"/>
      <c r="O38" s="68"/>
      <c r="P38" s="68"/>
      <c r="Q38" s="68"/>
      <c r="R38" s="68"/>
      <c r="S38" s="68"/>
      <c r="T38" s="68"/>
    </row>
    <row r="39" spans="1:20" ht="15" customHeight="1">
      <c r="A39" s="83"/>
      <c r="B39" s="83"/>
      <c r="C39" s="83"/>
      <c r="G39" s="83"/>
      <c r="H39" s="83"/>
      <c r="I39" s="83"/>
      <c r="J39" s="83"/>
      <c r="K39" s="83"/>
    </row>
    <row r="40" spans="1:20" ht="15" customHeight="1">
      <c r="A40" s="83"/>
      <c r="B40" s="83"/>
      <c r="C40" s="83"/>
      <c r="G40" s="83"/>
      <c r="H40" s="83"/>
      <c r="I40" s="83"/>
      <c r="J40" s="83"/>
      <c r="K40" s="83"/>
    </row>
    <row r="41" spans="1:20" ht="15" customHeight="1">
      <c r="A41" s="83"/>
      <c r="B41" s="83"/>
      <c r="C41" s="83">
        <f>D3</f>
        <v>2025</v>
      </c>
      <c r="D41" s="83">
        <f>I3</f>
        <v>2024</v>
      </c>
      <c r="H41" s="83"/>
      <c r="I41" s="83">
        <f>D3</f>
        <v>2025</v>
      </c>
      <c r="J41" s="83">
        <f>I3</f>
        <v>2024</v>
      </c>
      <c r="K41" s="83"/>
    </row>
    <row r="42" spans="1:20" ht="15" customHeight="1">
      <c r="A42" s="83"/>
      <c r="B42" s="83" t="str">
        <f>A7</f>
        <v>Říjen</v>
      </c>
      <c r="C42" s="69">
        <f>E13</f>
        <v>516789.69405630196</v>
      </c>
      <c r="D42" s="69">
        <f>I13</f>
        <v>451140.30265065399</v>
      </c>
      <c r="H42" s="83" t="str">
        <f>A7</f>
        <v>Říjen</v>
      </c>
      <c r="I42" s="84">
        <f>E13/E34</f>
        <v>0.26570598481712521</v>
      </c>
      <c r="J42" s="84">
        <f>I13/I34</f>
        <v>0.23923404189832742</v>
      </c>
      <c r="K42" s="83"/>
    </row>
    <row r="43" spans="1:20" ht="15" customHeight="1">
      <c r="A43" s="83"/>
      <c r="B43" s="83" t="str">
        <f>A14</f>
        <v>Listopad</v>
      </c>
      <c r="C43" s="69">
        <f>E20</f>
        <v>675494.74195459008</v>
      </c>
      <c r="D43" s="69">
        <f>I20</f>
        <v>675535.3102779258</v>
      </c>
      <c r="H43" s="83" t="str">
        <f>A14</f>
        <v>Listopad</v>
      </c>
      <c r="I43" s="84">
        <f>E20/E34</f>
        <v>0.34730374408410769</v>
      </c>
      <c r="J43" s="84">
        <f>I20/I34</f>
        <v>0.35822789888930495</v>
      </c>
      <c r="K43" s="83"/>
    </row>
    <row r="44" spans="1:20" ht="15" customHeight="1">
      <c r="A44" s="83"/>
      <c r="B44" s="83" t="str">
        <f>A21</f>
        <v>Prosinec</v>
      </c>
      <c r="C44" s="69">
        <f>E27</f>
        <v>752683.77542020404</v>
      </c>
      <c r="D44" s="69">
        <f>I27</f>
        <v>759094.06713386299</v>
      </c>
      <c r="H44" s="83" t="str">
        <f>A21</f>
        <v>Prosinec</v>
      </c>
      <c r="I44" s="84">
        <f>E27/E34</f>
        <v>0.3869902710987671</v>
      </c>
      <c r="J44" s="84">
        <f>I27/I34</f>
        <v>0.40253805921236752</v>
      </c>
      <c r="K44" s="83"/>
    </row>
    <row r="45" spans="1:20" ht="15" customHeight="1">
      <c r="A45" s="83"/>
      <c r="B45" s="83"/>
      <c r="C45" s="69">
        <f>SUM(C42:C44)</f>
        <v>1944968.2114310961</v>
      </c>
      <c r="D45" s="69">
        <f>SUM(D42:D44)</f>
        <v>1885769.6800624428</v>
      </c>
      <c r="E45" s="83"/>
      <c r="F45" s="83"/>
      <c r="G45" s="83"/>
      <c r="H45" s="83"/>
      <c r="I45" s="85">
        <f>SUM(I42:I44)</f>
        <v>1</v>
      </c>
      <c r="J45" s="85">
        <f>SUM(J42:J44)</f>
        <v>0.99999999999999989</v>
      </c>
      <c r="K45" s="83"/>
    </row>
    <row r="46" spans="1:20" ht="15" customHeight="1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</row>
    <row r="47" spans="1:20" ht="15" customHeight="1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</row>
    <row r="48" spans="1:20" ht="15" customHeight="1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</row>
    <row r="49" spans="1:11" ht="15" customHeight="1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</row>
    <row r="50" spans="1:11" ht="15" customHeight="1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</row>
    <row r="51" spans="1:11" ht="15" customHeight="1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</row>
    <row r="52" spans="1:11" ht="15" customHeight="1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</row>
    <row r="53" spans="1:11" ht="15" customHeight="1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</row>
    <row r="54" spans="1:11" ht="15" customHeight="1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</row>
    <row r="55" spans="1:11" ht="15" customHeight="1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</row>
    <row r="56" spans="1:11" ht="15" customHeight="1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</row>
    <row r="57" spans="1:11" ht="15" customHeight="1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</row>
    <row r="58" spans="1:11" ht="15" customHeight="1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</row>
    <row r="59" spans="1:11" ht="15" customHeight="1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</row>
    <row r="60" spans="1:11" ht="15" customHeight="1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</row>
    <row r="61" spans="1:11" ht="15" customHeight="1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</row>
    <row r="62" spans="1:11" ht="15" customHeight="1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1" ht="15" customHeight="1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1" ht="15" customHeight="1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21">
    <mergeCell ref="A5:B6"/>
    <mergeCell ref="A37:E37"/>
    <mergeCell ref="G37:K37"/>
    <mergeCell ref="A7:B13"/>
    <mergeCell ref="A14:B20"/>
    <mergeCell ref="A21:B27"/>
    <mergeCell ref="A28:B34"/>
    <mergeCell ref="A36:E36"/>
    <mergeCell ref="G5:G6"/>
    <mergeCell ref="H5:H6"/>
    <mergeCell ref="K5:K6"/>
    <mergeCell ref="E5:F5"/>
    <mergeCell ref="I5:J5"/>
    <mergeCell ref="G35:K36"/>
    <mergeCell ref="D5:D6"/>
    <mergeCell ref="C5:C6"/>
    <mergeCell ref="A1:K1"/>
    <mergeCell ref="A2:C2"/>
    <mergeCell ref="E3:G4"/>
    <mergeCell ref="I3:K4"/>
    <mergeCell ref="A3:C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4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6"/>
  <dimension ref="A1:U92"/>
  <sheetViews>
    <sheetView showGridLines="0" topLeftCell="A26" zoomScaleNormal="100" zoomScaleSheetLayoutView="100" workbookViewId="0">
      <selection activeCell="G1" sqref="G1"/>
    </sheetView>
  </sheetViews>
  <sheetFormatPr defaultColWidth="9.1796875" defaultRowHeight="12.5"/>
  <cols>
    <col min="1" max="1" width="9.453125" style="67" customWidth="1"/>
    <col min="2" max="2" width="3.81640625" style="67" customWidth="1"/>
    <col min="3" max="11" width="9.54296875" style="67" customWidth="1"/>
    <col min="12" max="13" width="9.1796875" style="67"/>
    <col min="14" max="14" width="11.1796875" style="67" customWidth="1"/>
    <col min="15" max="16384" width="9.1796875" style="67"/>
  </cols>
  <sheetData>
    <row r="1" spans="1:21" s="76" customFormat="1" ht="18">
      <c r="A1" s="437" t="s">
        <v>315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</row>
    <row r="2" spans="1:21" ht="6" customHeight="1">
      <c r="A2" s="452"/>
      <c r="B2" s="452"/>
      <c r="C2" s="452"/>
      <c r="D2" s="290"/>
      <c r="E2" s="290"/>
      <c r="F2" s="291"/>
      <c r="G2" s="292"/>
      <c r="H2" s="292"/>
      <c r="I2" s="292"/>
      <c r="J2" s="257"/>
      <c r="K2" s="257"/>
    </row>
    <row r="3" spans="1:21" ht="15" customHeight="1">
      <c r="A3" s="463" t="s">
        <v>312</v>
      </c>
      <c r="B3" s="463"/>
      <c r="C3" s="463"/>
      <c r="D3" s="316">
        <f>'3.1'!A4</f>
        <v>2025</v>
      </c>
      <c r="E3" s="458"/>
      <c r="F3" s="458"/>
      <c r="G3" s="458"/>
      <c r="H3" s="315"/>
      <c r="I3" s="457">
        <f>D3-1</f>
        <v>2024</v>
      </c>
      <c r="J3" s="458"/>
      <c r="K3" s="458"/>
    </row>
    <row r="4" spans="1:21" ht="50.15" customHeight="1">
      <c r="A4" s="464"/>
      <c r="B4" s="464"/>
      <c r="C4" s="464"/>
      <c r="D4" s="318"/>
      <c r="E4" s="460"/>
      <c r="F4" s="460"/>
      <c r="G4" s="460"/>
      <c r="H4" s="157"/>
      <c r="I4" s="459"/>
      <c r="J4" s="460"/>
      <c r="K4" s="460"/>
    </row>
    <row r="5" spans="1:21" ht="25" customHeight="1">
      <c r="A5" s="463" t="s">
        <v>155</v>
      </c>
      <c r="B5" s="463"/>
      <c r="C5" s="465" t="s">
        <v>180</v>
      </c>
      <c r="D5" s="461" t="s">
        <v>156</v>
      </c>
      <c r="E5" s="455" t="s">
        <v>59</v>
      </c>
      <c r="F5" s="455"/>
      <c r="G5" s="456" t="s">
        <v>32</v>
      </c>
      <c r="H5" s="456" t="s">
        <v>256</v>
      </c>
      <c r="I5" s="453" t="s">
        <v>59</v>
      </c>
      <c r="J5" s="454"/>
      <c r="K5" s="456" t="s">
        <v>32</v>
      </c>
    </row>
    <row r="6" spans="1:21" ht="22.5" customHeight="1">
      <c r="A6" s="464"/>
      <c r="B6" s="464"/>
      <c r="C6" s="466"/>
      <c r="D6" s="462"/>
      <c r="E6" s="201" t="s">
        <v>247</v>
      </c>
      <c r="F6" s="201" t="s">
        <v>248</v>
      </c>
      <c r="G6" s="442"/>
      <c r="H6" s="442"/>
      <c r="I6" s="203" t="s">
        <v>247</v>
      </c>
      <c r="J6" s="201" t="s">
        <v>248</v>
      </c>
      <c r="K6" s="442"/>
    </row>
    <row r="7" spans="1:21" ht="13" customHeight="1">
      <c r="A7" s="397" t="str">
        <f>'3.1'!D5</f>
        <v>Říjen</v>
      </c>
      <c r="B7" s="397"/>
      <c r="C7" s="147" t="s">
        <v>4</v>
      </c>
      <c r="D7" s="287">
        <v>86</v>
      </c>
      <c r="E7" s="283">
        <v>8929.4863399999995</v>
      </c>
      <c r="F7" s="283">
        <v>99016.395181</v>
      </c>
      <c r="G7" s="284">
        <f t="shared" ref="G7:G12" si="0">E7/$E$13</f>
        <v>0.35861110083676045</v>
      </c>
      <c r="H7" s="284">
        <f>(E7-I7)/I7</f>
        <v>0.24469386764017587</v>
      </c>
      <c r="I7" s="287">
        <v>7174.0422060000001</v>
      </c>
      <c r="J7" s="283">
        <v>78641.135634999999</v>
      </c>
      <c r="K7" s="284">
        <f>I7/$I$13</f>
        <v>0.32935188420397443</v>
      </c>
      <c r="M7" s="79"/>
      <c r="N7" s="79"/>
      <c r="O7" s="79"/>
      <c r="P7" s="79"/>
      <c r="Q7" s="79"/>
      <c r="R7" s="79"/>
      <c r="S7" s="79"/>
      <c r="T7" s="79"/>
      <c r="U7" s="79"/>
    </row>
    <row r="8" spans="1:21" ht="13" customHeight="1">
      <c r="A8" s="398"/>
      <c r="B8" s="398"/>
      <c r="C8" s="137" t="s">
        <v>5</v>
      </c>
      <c r="D8" s="288">
        <v>307</v>
      </c>
      <c r="E8" s="113">
        <v>3440.3966030000001</v>
      </c>
      <c r="F8" s="113">
        <v>38149.525808999999</v>
      </c>
      <c r="G8" s="282">
        <f t="shared" si="0"/>
        <v>0.1381674562387965</v>
      </c>
      <c r="H8" s="282">
        <f t="shared" ref="H8:H11" si="1">(E8-I8)/I8</f>
        <v>-0.22046456061594399</v>
      </c>
      <c r="I8" s="288">
        <v>4413.3934509999999</v>
      </c>
      <c r="J8" s="113">
        <v>48379.177674999999</v>
      </c>
      <c r="K8" s="282">
        <f t="shared" ref="K8:K12" si="2">I8/$I$13</f>
        <v>0.20261372976097752</v>
      </c>
      <c r="L8" s="68"/>
      <c r="M8" s="79"/>
      <c r="N8" s="79"/>
      <c r="O8" s="79"/>
      <c r="P8" s="79"/>
      <c r="Q8" s="79"/>
      <c r="R8" s="79"/>
      <c r="S8" s="79"/>
    </row>
    <row r="9" spans="1:21" ht="13" customHeight="1">
      <c r="A9" s="398"/>
      <c r="B9" s="398"/>
      <c r="C9" s="137" t="s">
        <v>6</v>
      </c>
      <c r="D9" s="288">
        <v>10770</v>
      </c>
      <c r="E9" s="113">
        <v>4765.0212950000005</v>
      </c>
      <c r="F9" s="113">
        <v>52837.891629999998</v>
      </c>
      <c r="G9" s="282">
        <f t="shared" si="0"/>
        <v>0.19136481842812877</v>
      </c>
      <c r="H9" s="282">
        <f t="shared" si="1"/>
        <v>0.2559148898985586</v>
      </c>
      <c r="I9" s="288">
        <v>3794.0638600000002</v>
      </c>
      <c r="J9" s="113">
        <v>41590.148621</v>
      </c>
      <c r="K9" s="282">
        <f t="shared" si="2"/>
        <v>0.17418103284033065</v>
      </c>
      <c r="L9" s="68"/>
      <c r="M9" s="79"/>
      <c r="N9" s="79"/>
      <c r="O9" s="79"/>
      <c r="P9" s="79"/>
      <c r="Q9" s="79"/>
      <c r="R9" s="79"/>
      <c r="S9" s="79"/>
    </row>
    <row r="10" spans="1:21" ht="13" customHeight="1">
      <c r="A10" s="398"/>
      <c r="B10" s="398"/>
      <c r="C10" s="137" t="s">
        <v>7</v>
      </c>
      <c r="D10" s="288">
        <v>99735</v>
      </c>
      <c r="E10" s="113">
        <v>7267.8607620000002</v>
      </c>
      <c r="F10" s="113">
        <v>80590.393637000001</v>
      </c>
      <c r="G10" s="282">
        <f t="shared" si="0"/>
        <v>0.29187967250858876</v>
      </c>
      <c r="H10" s="282">
        <f t="shared" si="1"/>
        <v>0.25591488980605503</v>
      </c>
      <c r="I10" s="288">
        <v>5786.9054829999995</v>
      </c>
      <c r="J10" s="113">
        <v>63434.636209999997</v>
      </c>
      <c r="K10" s="282">
        <f t="shared" si="2"/>
        <v>0.26567006017086714</v>
      </c>
      <c r="L10" s="68"/>
      <c r="M10" s="79"/>
      <c r="N10" s="79"/>
      <c r="O10" s="79"/>
      <c r="P10" s="79"/>
      <c r="Q10" s="79"/>
      <c r="R10" s="79"/>
      <c r="S10" s="79"/>
    </row>
    <row r="11" spans="1:21" ht="13" customHeight="1">
      <c r="A11" s="398"/>
      <c r="B11" s="398"/>
      <c r="C11" s="137" t="s">
        <v>90</v>
      </c>
      <c r="D11" s="288">
        <v>20</v>
      </c>
      <c r="E11" s="113">
        <v>301.83299999999997</v>
      </c>
      <c r="F11" s="113">
        <v>3347.2216859999999</v>
      </c>
      <c r="G11" s="282">
        <f t="shared" si="0"/>
        <v>1.2121712299843433E-2</v>
      </c>
      <c r="H11" s="282">
        <f t="shared" si="1"/>
        <v>-0.14706322854115161</v>
      </c>
      <c r="I11" s="288">
        <v>353.875</v>
      </c>
      <c r="J11" s="113">
        <v>3879.251992</v>
      </c>
      <c r="K11" s="282">
        <f t="shared" si="2"/>
        <v>1.6245987223939877E-2</v>
      </c>
      <c r="L11" s="68"/>
      <c r="M11" s="79"/>
      <c r="N11" s="79"/>
      <c r="O11" s="79"/>
      <c r="P11" s="79"/>
      <c r="Q11" s="79"/>
      <c r="R11" s="79"/>
      <c r="S11" s="79"/>
    </row>
    <row r="12" spans="1:21" ht="13" customHeight="1">
      <c r="A12" s="398"/>
      <c r="B12" s="398"/>
      <c r="C12" s="137" t="s">
        <v>91</v>
      </c>
      <c r="D12" s="288"/>
      <c r="E12" s="113">
        <v>195.59699999999998</v>
      </c>
      <c r="F12" s="113">
        <v>2168.9290000000001</v>
      </c>
      <c r="G12" s="282">
        <f t="shared" si="0"/>
        <v>7.8552396878819597E-3</v>
      </c>
      <c r="H12" s="282">
        <f>(E12-I12)/I12</f>
        <v>-0.2477674965964419</v>
      </c>
      <c r="I12" s="288">
        <v>260.02199999999999</v>
      </c>
      <c r="J12" s="113">
        <v>2850.326</v>
      </c>
      <c r="K12" s="282">
        <f t="shared" si="2"/>
        <v>1.1937305799910404E-2</v>
      </c>
      <c r="L12" s="68"/>
      <c r="M12" s="79"/>
      <c r="N12" s="79"/>
      <c r="O12" s="79"/>
      <c r="P12" s="79"/>
      <c r="Q12" s="79"/>
      <c r="R12" s="79"/>
      <c r="S12" s="79"/>
    </row>
    <row r="13" spans="1:21" ht="13" customHeight="1">
      <c r="A13" s="399"/>
      <c r="B13" s="399"/>
      <c r="C13" s="293" t="s">
        <v>0</v>
      </c>
      <c r="D13" s="296">
        <v>110918</v>
      </c>
      <c r="E13" s="294">
        <v>24900.195000000003</v>
      </c>
      <c r="F13" s="294">
        <v>276110.35694299999</v>
      </c>
      <c r="G13" s="295">
        <f>SUM(G7:G12)</f>
        <v>0.99999999999999978</v>
      </c>
      <c r="H13" s="295">
        <f>(E13-I13)/I13</f>
        <v>0.14313881976294349</v>
      </c>
      <c r="I13" s="296">
        <v>21782.302</v>
      </c>
      <c r="J13" s="294">
        <v>238774.676133</v>
      </c>
      <c r="K13" s="295">
        <f>SUM(K7:K12)</f>
        <v>1</v>
      </c>
      <c r="L13" s="68"/>
      <c r="M13" s="79"/>
      <c r="N13" s="79"/>
      <c r="O13" s="79"/>
      <c r="P13" s="79"/>
      <c r="Q13" s="79"/>
      <c r="R13" s="79"/>
      <c r="S13" s="79"/>
    </row>
    <row r="14" spans="1:21" ht="13" customHeight="1">
      <c r="A14" s="397" t="str">
        <f>'3.1'!E5</f>
        <v>Listopad</v>
      </c>
      <c r="B14" s="397"/>
      <c r="C14" s="147" t="s">
        <v>4</v>
      </c>
      <c r="D14" s="287">
        <v>86</v>
      </c>
      <c r="E14" s="283">
        <v>9710.6133629999986</v>
      </c>
      <c r="F14" s="283">
        <v>107031.35154500001</v>
      </c>
      <c r="G14" s="284">
        <f>E14/$E$20</f>
        <v>0.29018624215937211</v>
      </c>
      <c r="H14" s="284">
        <f>(E14-I14)/I14</f>
        <v>0.16927325379470914</v>
      </c>
      <c r="I14" s="287">
        <v>8304.8280899999991</v>
      </c>
      <c r="J14" s="283">
        <v>90584.930366000001</v>
      </c>
      <c r="K14" s="284">
        <f>I14/$I$20</f>
        <v>0.25215252049353665</v>
      </c>
      <c r="L14" s="68"/>
      <c r="M14" s="79"/>
      <c r="N14" s="79"/>
      <c r="O14" s="79"/>
      <c r="P14" s="79"/>
      <c r="Q14" s="79"/>
      <c r="R14" s="79"/>
      <c r="S14" s="79"/>
    </row>
    <row r="15" spans="1:21" ht="13" customHeight="1">
      <c r="A15" s="398"/>
      <c r="B15" s="398"/>
      <c r="C15" s="137" t="s">
        <v>5</v>
      </c>
      <c r="D15" s="288">
        <v>306</v>
      </c>
      <c r="E15" s="113">
        <v>4490.9444979999998</v>
      </c>
      <c r="F15" s="113">
        <v>49499.639344999996</v>
      </c>
      <c r="G15" s="282">
        <f t="shared" ref="G15:G19" si="3">E15/$E$20</f>
        <v>0.13420473649857209</v>
      </c>
      <c r="H15" s="282">
        <f t="shared" ref="H15:H17" si="4">(E15-I15)/I15</f>
        <v>-0.22796880146822757</v>
      </c>
      <c r="I15" s="288">
        <v>5817.0505369999992</v>
      </c>
      <c r="J15" s="113">
        <v>63449.478727000002</v>
      </c>
      <c r="K15" s="282">
        <f t="shared" ref="K15:K19" si="5">I15/$I$20</f>
        <v>0.1766182200097571</v>
      </c>
      <c r="L15" s="86"/>
      <c r="M15" s="79"/>
      <c r="N15" s="79"/>
      <c r="O15" s="79"/>
      <c r="P15" s="79"/>
      <c r="Q15" s="79"/>
      <c r="R15" s="79"/>
      <c r="S15" s="79"/>
    </row>
    <row r="16" spans="1:21" ht="13" customHeight="1">
      <c r="A16" s="398"/>
      <c r="B16" s="398"/>
      <c r="C16" s="137" t="s">
        <v>6</v>
      </c>
      <c r="D16" s="288">
        <v>10762</v>
      </c>
      <c r="E16" s="113">
        <v>7399.061659</v>
      </c>
      <c r="F16" s="113">
        <v>81553.197516</v>
      </c>
      <c r="G16" s="282">
        <f t="shared" si="3"/>
        <v>0.22110919445230309</v>
      </c>
      <c r="H16" s="282">
        <f t="shared" si="4"/>
        <v>3.2537876842823679E-2</v>
      </c>
      <c r="I16" s="288">
        <v>7165.8985349999994</v>
      </c>
      <c r="J16" s="113">
        <v>78162.038278000007</v>
      </c>
      <c r="K16" s="282">
        <f>I16/$I$20</f>
        <v>0.21757215894413437</v>
      </c>
      <c r="L16" s="68"/>
      <c r="M16" s="79"/>
      <c r="N16" s="79"/>
      <c r="O16" s="79"/>
      <c r="P16" s="79"/>
      <c r="Q16" s="79"/>
      <c r="R16" s="79"/>
      <c r="S16" s="79"/>
    </row>
    <row r="17" spans="1:20" ht="13" customHeight="1">
      <c r="A17" s="398"/>
      <c r="B17" s="398"/>
      <c r="C17" s="137" t="s">
        <v>7</v>
      </c>
      <c r="D17" s="288">
        <v>99762</v>
      </c>
      <c r="E17" s="113">
        <v>11285.437480999999</v>
      </c>
      <c r="F17" s="113">
        <v>124388.16445400001</v>
      </c>
      <c r="G17" s="282">
        <f t="shared" si="3"/>
        <v>0.33724735722813071</v>
      </c>
      <c r="H17" s="282">
        <f t="shared" si="4"/>
        <v>3.2537876870051503E-2</v>
      </c>
      <c r="I17" s="288">
        <v>10929.804837</v>
      </c>
      <c r="J17" s="113">
        <v>119218.60426199999</v>
      </c>
      <c r="K17" s="282">
        <f>I17/$I$20</f>
        <v>0.33185248487810648</v>
      </c>
      <c r="L17" s="68"/>
      <c r="M17" s="79"/>
      <c r="N17" s="79"/>
      <c r="O17" s="79"/>
      <c r="P17" s="79"/>
      <c r="Q17" s="79"/>
      <c r="R17" s="79"/>
      <c r="S17" s="79"/>
    </row>
    <row r="18" spans="1:20" ht="13" customHeight="1">
      <c r="A18" s="398"/>
      <c r="B18" s="398"/>
      <c r="C18" s="137" t="s">
        <v>90</v>
      </c>
      <c r="D18" s="288">
        <v>20</v>
      </c>
      <c r="E18" s="113">
        <v>297.34000000000003</v>
      </c>
      <c r="F18" s="113">
        <v>3277.7294399999996</v>
      </c>
      <c r="G18" s="282">
        <f t="shared" si="3"/>
        <v>8.8855331808835522E-3</v>
      </c>
      <c r="H18" s="282">
        <f>(E18-I18)/I18</f>
        <v>-0.14662426670646436</v>
      </c>
      <c r="I18" s="288">
        <v>348.428</v>
      </c>
      <c r="J18" s="113">
        <v>3800.3510449999999</v>
      </c>
      <c r="K18" s="282">
        <f>I18/$I$20</f>
        <v>1.0579026737026894E-2</v>
      </c>
      <c r="L18" s="68"/>
      <c r="M18" s="79"/>
      <c r="N18" s="79"/>
      <c r="O18" s="79"/>
      <c r="P18" s="79"/>
      <c r="Q18" s="79"/>
      <c r="R18" s="79"/>
      <c r="S18" s="79"/>
    </row>
    <row r="19" spans="1:20" ht="13" customHeight="1">
      <c r="A19" s="398"/>
      <c r="B19" s="398"/>
      <c r="C19" s="137" t="s">
        <v>91</v>
      </c>
      <c r="D19" s="288"/>
      <c r="E19" s="113">
        <v>279.98599999999999</v>
      </c>
      <c r="F19" s="113">
        <v>3086.0419999999999</v>
      </c>
      <c r="G19" s="282">
        <f t="shared" si="3"/>
        <v>8.366936480738758E-3</v>
      </c>
      <c r="H19" s="282">
        <f t="shared" ref="H19" si="6">(E19-I19)/I19</f>
        <v>-0.24271414004538538</v>
      </c>
      <c r="I19" s="288">
        <v>369.72300000000001</v>
      </c>
      <c r="J19" s="113">
        <v>4032.7569999999996</v>
      </c>
      <c r="K19" s="282">
        <f t="shared" si="5"/>
        <v>1.1225588937438424E-2</v>
      </c>
      <c r="L19" s="68"/>
      <c r="M19" s="79"/>
      <c r="N19" s="79"/>
      <c r="O19" s="79"/>
      <c r="P19" s="79"/>
      <c r="Q19" s="79"/>
      <c r="R19" s="79"/>
      <c r="S19" s="79"/>
    </row>
    <row r="20" spans="1:20" ht="13" customHeight="1">
      <c r="A20" s="399"/>
      <c r="B20" s="399"/>
      <c r="C20" s="293" t="s">
        <v>0</v>
      </c>
      <c r="D20" s="296">
        <v>110936</v>
      </c>
      <c r="E20" s="294">
        <v>33463.383000999987</v>
      </c>
      <c r="F20" s="294">
        <v>368836.12430000008</v>
      </c>
      <c r="G20" s="295">
        <f>SUM(G14:G19)</f>
        <v>1.0000000000000002</v>
      </c>
      <c r="H20" s="295">
        <f>(E20-I20)/I20</f>
        <v>1.6020593864299548E-2</v>
      </c>
      <c r="I20" s="296">
        <v>32935.732999</v>
      </c>
      <c r="J20" s="294">
        <v>359248.15967800003</v>
      </c>
      <c r="K20" s="295">
        <f>SUM(K14:K19)</f>
        <v>1</v>
      </c>
      <c r="L20" s="68"/>
      <c r="M20" s="79"/>
      <c r="N20" s="79"/>
      <c r="O20" s="79"/>
      <c r="P20" s="79"/>
      <c r="Q20" s="79"/>
      <c r="R20" s="79"/>
      <c r="S20" s="79"/>
    </row>
    <row r="21" spans="1:20" ht="13" customHeight="1">
      <c r="A21" s="397" t="str">
        <f>'3.1'!F5</f>
        <v>Prosinec</v>
      </c>
      <c r="B21" s="397"/>
      <c r="C21" s="147" t="s">
        <v>4</v>
      </c>
      <c r="D21" s="287">
        <v>86</v>
      </c>
      <c r="E21" s="283">
        <v>8273.7359980000001</v>
      </c>
      <c r="F21" s="283">
        <v>91033.435062000004</v>
      </c>
      <c r="G21" s="284">
        <f>E21/$E$27</f>
        <v>0.22707002580493951</v>
      </c>
      <c r="H21" s="284">
        <f>(E21-I21)/I21</f>
        <v>7.7476091156085822E-2</v>
      </c>
      <c r="I21" s="287">
        <v>7678.8116839999993</v>
      </c>
      <c r="J21" s="283">
        <v>83553.104997000002</v>
      </c>
      <c r="K21" s="284">
        <f>I21/$I$27</f>
        <v>0.2100599629019903</v>
      </c>
      <c r="L21" s="78"/>
      <c r="M21" s="79"/>
      <c r="N21" s="79"/>
      <c r="O21" s="79"/>
      <c r="P21" s="79"/>
      <c r="Q21" s="79"/>
      <c r="R21" s="79"/>
      <c r="S21" s="79"/>
      <c r="T21" s="78"/>
    </row>
    <row r="22" spans="1:20" ht="13" customHeight="1">
      <c r="A22" s="398"/>
      <c r="B22" s="398"/>
      <c r="C22" s="137" t="s">
        <v>5</v>
      </c>
      <c r="D22" s="288">
        <v>306</v>
      </c>
      <c r="E22" s="113">
        <v>4548.4351489999999</v>
      </c>
      <c r="F22" s="113">
        <v>50045.067411999997</v>
      </c>
      <c r="G22" s="282">
        <f t="shared" ref="G22:G26" si="7">E22/$E$27</f>
        <v>0.12483034108233386</v>
      </c>
      <c r="H22" s="282">
        <f t="shared" ref="H22:H26" si="8">(E22-I22)/I22</f>
        <v>-0.15871422111288475</v>
      </c>
      <c r="I22" s="288">
        <v>5406.5280350000003</v>
      </c>
      <c r="J22" s="113">
        <v>58828.431549000001</v>
      </c>
      <c r="K22" s="282">
        <f t="shared" ref="K22:K26" si="9">I22/$I$27</f>
        <v>0.14789984768438433</v>
      </c>
      <c r="L22" s="78"/>
      <c r="M22" s="79"/>
      <c r="N22" s="79"/>
      <c r="O22" s="79"/>
      <c r="P22" s="79"/>
      <c r="Q22" s="79"/>
      <c r="R22" s="79"/>
      <c r="S22" s="79"/>
      <c r="T22" s="78"/>
    </row>
    <row r="23" spans="1:20" ht="13" customHeight="1">
      <c r="A23" s="398"/>
      <c r="B23" s="398"/>
      <c r="C23" s="137" t="s">
        <v>6</v>
      </c>
      <c r="D23" s="288">
        <v>10770</v>
      </c>
      <c r="E23" s="113">
        <v>9111.1307180000003</v>
      </c>
      <c r="F23" s="113">
        <v>100247.03795100001</v>
      </c>
      <c r="G23" s="282">
        <f t="shared" si="7"/>
        <v>0.25005205480916254</v>
      </c>
      <c r="H23" s="282">
        <f t="shared" si="8"/>
        <v>1.2784188840802417E-2</v>
      </c>
      <c r="I23" s="288">
        <v>8996.1225880000002</v>
      </c>
      <c r="J23" s="113">
        <v>97886.809872999991</v>
      </c>
      <c r="K23" s="282">
        <f t="shared" si="9"/>
        <v>0.24609604387545717</v>
      </c>
      <c r="L23" s="78"/>
      <c r="M23" s="79"/>
      <c r="N23" s="79"/>
      <c r="O23" s="79"/>
      <c r="P23" s="79"/>
      <c r="Q23" s="79"/>
      <c r="R23" s="79"/>
      <c r="S23" s="79"/>
      <c r="T23" s="78"/>
    </row>
    <row r="24" spans="1:20" ht="13" customHeight="1">
      <c r="A24" s="398"/>
      <c r="B24" s="398"/>
      <c r="C24" s="137" t="s">
        <v>7</v>
      </c>
      <c r="D24" s="288">
        <v>99713</v>
      </c>
      <c r="E24" s="113">
        <v>13896.775136</v>
      </c>
      <c r="F24" s="113">
        <v>152867.98378400001</v>
      </c>
      <c r="G24" s="282">
        <f t="shared" si="7"/>
        <v>0.38139252805501006</v>
      </c>
      <c r="H24" s="282">
        <f t="shared" si="8"/>
        <v>1.2784188935801587E-2</v>
      </c>
      <c r="I24" s="288">
        <v>13721.358694</v>
      </c>
      <c r="J24" s="113">
        <v>149303.25394700002</v>
      </c>
      <c r="K24" s="282">
        <f t="shared" si="9"/>
        <v>0.37535861235303897</v>
      </c>
      <c r="L24" s="78"/>
      <c r="M24" s="79"/>
      <c r="N24" s="79"/>
      <c r="O24" s="79"/>
      <c r="P24" s="79"/>
      <c r="Q24" s="79"/>
      <c r="R24" s="79"/>
      <c r="S24" s="79"/>
      <c r="T24" s="78"/>
    </row>
    <row r="25" spans="1:20" ht="13" customHeight="1">
      <c r="A25" s="398"/>
      <c r="B25" s="398"/>
      <c r="C25" s="137" t="s">
        <v>90</v>
      </c>
      <c r="D25" s="288">
        <v>20</v>
      </c>
      <c r="E25" s="113">
        <v>276.78300000000002</v>
      </c>
      <c r="F25" s="113">
        <v>3045.1529369999998</v>
      </c>
      <c r="G25" s="282">
        <f t="shared" si="7"/>
        <v>7.5962204942919397E-3</v>
      </c>
      <c r="H25" s="282">
        <f t="shared" si="8"/>
        <v>-0.12280529391630633</v>
      </c>
      <c r="I25" s="288">
        <v>315.53199999999998</v>
      </c>
      <c r="J25" s="113">
        <v>3433.6658879999995</v>
      </c>
      <c r="K25" s="282">
        <f t="shared" si="9"/>
        <v>8.6316272545785746E-3</v>
      </c>
      <c r="L25" s="78"/>
      <c r="M25" s="79"/>
      <c r="N25" s="79"/>
      <c r="O25" s="79"/>
      <c r="P25" s="79"/>
      <c r="Q25" s="79"/>
      <c r="R25" s="79"/>
      <c r="S25" s="79"/>
      <c r="T25" s="78"/>
    </row>
    <row r="26" spans="1:20" ht="13" customHeight="1">
      <c r="A26" s="398"/>
      <c r="B26" s="398"/>
      <c r="C26" s="137" t="s">
        <v>91</v>
      </c>
      <c r="D26" s="288"/>
      <c r="E26" s="113">
        <v>330.07600000000002</v>
      </c>
      <c r="F26" s="113">
        <v>3631.4089999999997</v>
      </c>
      <c r="G26" s="282">
        <f t="shared" si="7"/>
        <v>9.058829754262027E-3</v>
      </c>
      <c r="H26" s="282">
        <f t="shared" si="8"/>
        <v>-0.24464104682376034</v>
      </c>
      <c r="I26" s="288">
        <v>436.97899999999998</v>
      </c>
      <c r="J26" s="113">
        <v>4754.7060000000001</v>
      </c>
      <c r="K26" s="282">
        <f t="shared" si="9"/>
        <v>1.1953905930550597E-2</v>
      </c>
      <c r="L26" s="78"/>
      <c r="M26" s="79"/>
      <c r="N26" s="79"/>
      <c r="O26" s="79"/>
      <c r="P26" s="79"/>
      <c r="Q26" s="79"/>
      <c r="R26" s="79"/>
      <c r="S26" s="79"/>
      <c r="T26" s="78"/>
    </row>
    <row r="27" spans="1:20" ht="13" customHeight="1">
      <c r="A27" s="399"/>
      <c r="B27" s="399"/>
      <c r="C27" s="293" t="s">
        <v>0</v>
      </c>
      <c r="D27" s="296">
        <v>110895</v>
      </c>
      <c r="E27" s="294">
        <v>36436.936001000002</v>
      </c>
      <c r="F27" s="294">
        <v>400870.08614600002</v>
      </c>
      <c r="G27" s="295">
        <f>SUM(G21:G26)</f>
        <v>0.99999999999999989</v>
      </c>
      <c r="H27" s="295">
        <f>(E27-I27)/I27</f>
        <v>-3.2388161594801494E-3</v>
      </c>
      <c r="I27" s="296">
        <v>36555.332001000002</v>
      </c>
      <c r="J27" s="294">
        <v>397759.97225399996</v>
      </c>
      <c r="K27" s="295">
        <f>SUM(K21:K26)</f>
        <v>0.99999999999999989</v>
      </c>
      <c r="M27" s="79"/>
      <c r="N27" s="79"/>
      <c r="O27" s="79"/>
      <c r="P27" s="79"/>
      <c r="Q27" s="79"/>
      <c r="R27" s="79"/>
      <c r="S27" s="79"/>
    </row>
    <row r="28" spans="1:20" ht="13" customHeight="1">
      <c r="A28" s="467" t="str">
        <f>'3.1'!G5</f>
        <v>IV. čtvrtletí</v>
      </c>
      <c r="B28" s="397"/>
      <c r="C28" s="147" t="s">
        <v>4</v>
      </c>
      <c r="D28" s="287">
        <f>D21</f>
        <v>86</v>
      </c>
      <c r="E28" s="283">
        <f>E7+E14+E21</f>
        <v>26913.835701</v>
      </c>
      <c r="F28" s="283">
        <f>F7+F14+F21</f>
        <v>297081.18178800005</v>
      </c>
      <c r="G28" s="284">
        <f>E28/$E$34</f>
        <v>0.28389968118139319</v>
      </c>
      <c r="H28" s="284">
        <f>(E28-I28)/I28</f>
        <v>0.16219903720260015</v>
      </c>
      <c r="I28" s="287">
        <f>I7+I14+I21</f>
        <v>23157.681979999998</v>
      </c>
      <c r="J28" s="283">
        <f>J7+J14+J21</f>
        <v>252779.17099800002</v>
      </c>
      <c r="K28" s="284">
        <f>I28/$I$34</f>
        <v>0.25371784498757449</v>
      </c>
      <c r="M28" s="79"/>
      <c r="N28" s="79"/>
      <c r="O28" s="79"/>
      <c r="P28" s="79"/>
      <c r="Q28" s="79"/>
      <c r="R28" s="79"/>
      <c r="S28" s="79"/>
    </row>
    <row r="29" spans="1:20" ht="13" customHeight="1">
      <c r="A29" s="398"/>
      <c r="B29" s="398"/>
      <c r="C29" s="137" t="s">
        <v>5</v>
      </c>
      <c r="D29" s="288">
        <f t="shared" ref="D29:D32" si="10">D22</f>
        <v>306</v>
      </c>
      <c r="E29" s="113">
        <f>E8+E15+E22</f>
        <v>12479.776249999999</v>
      </c>
      <c r="F29" s="113">
        <f t="shared" ref="F29" si="11">F8+F15+F22</f>
        <v>137694.23256599999</v>
      </c>
      <c r="G29" s="282">
        <f t="shared" ref="G29:G33" si="12">E29/$E$34</f>
        <v>0.13164249562757344</v>
      </c>
      <c r="H29" s="282">
        <f t="shared" ref="H29:H31" si="13">(E29-I29)/I29</f>
        <v>-0.2019058273146595</v>
      </c>
      <c r="I29" s="288">
        <f>I8+I15+I22</f>
        <v>15636.972022999998</v>
      </c>
      <c r="J29" s="113">
        <f t="shared" ref="J29" si="14">J8+J15+J22</f>
        <v>170657.08795099999</v>
      </c>
      <c r="K29" s="282">
        <f t="shared" ref="K29:K33" si="15">I29/$I$34</f>
        <v>0.17132020584931418</v>
      </c>
      <c r="M29" s="79"/>
      <c r="N29" s="79"/>
      <c r="O29" s="79"/>
      <c r="P29" s="79"/>
      <c r="Q29" s="79"/>
      <c r="R29" s="79"/>
      <c r="S29" s="79"/>
    </row>
    <row r="30" spans="1:20" ht="13" customHeight="1">
      <c r="A30" s="398"/>
      <c r="B30" s="398"/>
      <c r="C30" s="137" t="s">
        <v>6</v>
      </c>
      <c r="D30" s="288">
        <f t="shared" si="10"/>
        <v>10770</v>
      </c>
      <c r="E30" s="113">
        <f t="shared" ref="E30:F33" si="16">E9+E16+E23</f>
        <v>21275.213672000002</v>
      </c>
      <c r="F30" s="113">
        <f t="shared" si="16"/>
        <v>234638.12709699999</v>
      </c>
      <c r="G30" s="282">
        <f t="shared" si="12"/>
        <v>0.22442086834625349</v>
      </c>
      <c r="H30" s="282">
        <f t="shared" si="13"/>
        <v>6.6101577043980717E-2</v>
      </c>
      <c r="I30" s="288">
        <f t="shared" ref="I30:J32" si="17">I9+I16+I23</f>
        <v>19956.084983000001</v>
      </c>
      <c r="J30" s="113">
        <f t="shared" si="17"/>
        <v>217638.99677199998</v>
      </c>
      <c r="K30" s="282">
        <f t="shared" si="15"/>
        <v>0.2186408329058355</v>
      </c>
      <c r="M30" s="79"/>
      <c r="N30" s="79"/>
      <c r="O30" s="79"/>
      <c r="P30" s="79"/>
      <c r="Q30" s="79"/>
      <c r="R30" s="79"/>
      <c r="S30" s="79"/>
    </row>
    <row r="31" spans="1:20" ht="13" customHeight="1">
      <c r="A31" s="398"/>
      <c r="B31" s="398"/>
      <c r="C31" s="137" t="s">
        <v>7</v>
      </c>
      <c r="D31" s="288">
        <f t="shared" si="10"/>
        <v>99713</v>
      </c>
      <c r="E31" s="113">
        <f>E10+E17+E24</f>
        <v>32450.073378999998</v>
      </c>
      <c r="F31" s="113">
        <f t="shared" si="16"/>
        <v>357846.541875</v>
      </c>
      <c r="G31" s="282">
        <f t="shared" si="12"/>
        <v>0.34229849616970853</v>
      </c>
      <c r="H31" s="282">
        <f t="shared" si="13"/>
        <v>6.6101577076869589E-2</v>
      </c>
      <c r="I31" s="288">
        <f>I10+I17+I24</f>
        <v>30438.069014000001</v>
      </c>
      <c r="J31" s="113">
        <f t="shared" si="17"/>
        <v>331956.494419</v>
      </c>
      <c r="K31" s="282">
        <f t="shared" si="15"/>
        <v>0.33348248250773965</v>
      </c>
      <c r="M31" s="79"/>
      <c r="N31" s="79"/>
      <c r="O31" s="79"/>
      <c r="P31" s="79"/>
      <c r="Q31" s="79"/>
      <c r="R31" s="79"/>
      <c r="S31" s="79"/>
    </row>
    <row r="32" spans="1:20" ht="13" customHeight="1">
      <c r="A32" s="398"/>
      <c r="B32" s="398"/>
      <c r="C32" s="137" t="s">
        <v>90</v>
      </c>
      <c r="D32" s="288">
        <f t="shared" si="10"/>
        <v>20</v>
      </c>
      <c r="E32" s="113">
        <f>E11+E18+E25</f>
        <v>875.95600000000002</v>
      </c>
      <c r="F32" s="113">
        <f t="shared" si="16"/>
        <v>9670.1040629999989</v>
      </c>
      <c r="G32" s="282">
        <f t="shared" si="12"/>
        <v>9.2399920952065725E-3</v>
      </c>
      <c r="H32" s="282">
        <f>(E32-I32)/I32</f>
        <v>-0.13939292714438001</v>
      </c>
      <c r="I32" s="288">
        <f>I11+I18+I25</f>
        <v>1017.835</v>
      </c>
      <c r="J32" s="113">
        <f t="shared" si="17"/>
        <v>11113.268925</v>
      </c>
      <c r="K32" s="282">
        <f t="shared" si="15"/>
        <v>1.1151500524791641E-2</v>
      </c>
      <c r="M32" s="79"/>
      <c r="N32" s="79"/>
      <c r="O32" s="79"/>
      <c r="P32" s="79"/>
      <c r="Q32" s="79"/>
      <c r="R32" s="79"/>
      <c r="S32" s="79"/>
    </row>
    <row r="33" spans="1:20" ht="13" customHeight="1">
      <c r="A33" s="398"/>
      <c r="B33" s="398"/>
      <c r="C33" s="137" t="s">
        <v>91</v>
      </c>
      <c r="D33" s="288"/>
      <c r="E33" s="113">
        <f t="shared" si="16"/>
        <v>805.65899999999999</v>
      </c>
      <c r="F33" s="113">
        <f t="shared" si="16"/>
        <v>8886.3799999999992</v>
      </c>
      <c r="G33" s="282">
        <f t="shared" si="12"/>
        <v>8.4984665798647791E-3</v>
      </c>
      <c r="H33" s="282">
        <f t="shared" ref="H33" si="18">(E33-I33)/I33</f>
        <v>-0.24473528297853986</v>
      </c>
      <c r="I33" s="288">
        <f t="shared" ref="I33:J33" si="19">I12+I19+I26</f>
        <v>1066.7239999999999</v>
      </c>
      <c r="J33" s="113">
        <f t="shared" si="19"/>
        <v>11637.789000000001</v>
      </c>
      <c r="K33" s="282">
        <f t="shared" si="15"/>
        <v>1.1687133224744519E-2</v>
      </c>
      <c r="M33" s="79"/>
      <c r="N33" s="79"/>
      <c r="O33" s="79"/>
      <c r="P33" s="79"/>
      <c r="Q33" s="79"/>
      <c r="R33" s="79"/>
      <c r="S33" s="79"/>
    </row>
    <row r="34" spans="1:20" ht="13" customHeight="1">
      <c r="A34" s="399"/>
      <c r="B34" s="399"/>
      <c r="C34" s="293" t="s">
        <v>0</v>
      </c>
      <c r="D34" s="296">
        <f>SUM(D28:D33)</f>
        <v>110895</v>
      </c>
      <c r="E34" s="294">
        <f>SUM(E28:E33)</f>
        <v>94800.514001999996</v>
      </c>
      <c r="F34" s="294">
        <f>SUM(F28:F33)</f>
        <v>1045816.567389</v>
      </c>
      <c r="G34" s="295">
        <f>SUM(G28:G33)</f>
        <v>1</v>
      </c>
      <c r="H34" s="295">
        <f>(E34-I34)/I34</f>
        <v>3.8643770005767381E-2</v>
      </c>
      <c r="I34" s="296">
        <f>SUM(I28:I33)</f>
        <v>91273.366999999998</v>
      </c>
      <c r="J34" s="294">
        <f>SUM(J28:J33)</f>
        <v>995782.80806499999</v>
      </c>
      <c r="K34" s="295">
        <f>SUM(K28:K33)</f>
        <v>1</v>
      </c>
      <c r="M34" s="79"/>
      <c r="N34" s="79"/>
      <c r="O34" s="79"/>
      <c r="P34" s="79"/>
      <c r="Q34" s="79"/>
      <c r="R34" s="79"/>
      <c r="S34" s="79"/>
    </row>
    <row r="35" spans="1:20" ht="20.149999999999999" customHeight="1">
      <c r="A35" s="110"/>
      <c r="B35" s="278"/>
      <c r="C35" s="90"/>
      <c r="D35" s="78"/>
      <c r="E35" s="78"/>
      <c r="F35" s="78"/>
      <c r="G35" s="451" t="s">
        <v>258</v>
      </c>
      <c r="H35" s="451"/>
      <c r="I35" s="451"/>
      <c r="J35" s="451"/>
      <c r="K35" s="451"/>
    </row>
    <row r="36" spans="1:20" ht="15" customHeight="1">
      <c r="A36" s="443" t="s">
        <v>257</v>
      </c>
      <c r="B36" s="443"/>
      <c r="C36" s="443"/>
      <c r="D36" s="443"/>
      <c r="E36" s="443"/>
      <c r="F36" s="104"/>
      <c r="G36" s="451"/>
      <c r="H36" s="451"/>
      <c r="I36" s="451"/>
      <c r="J36" s="451"/>
      <c r="K36" s="451"/>
      <c r="M36" s="68"/>
      <c r="N36" s="68"/>
      <c r="O36" s="68"/>
      <c r="P36" s="68"/>
      <c r="Q36" s="68"/>
      <c r="R36" s="68"/>
      <c r="S36" s="68"/>
    </row>
    <row r="37" spans="1:20" ht="15" customHeight="1">
      <c r="A37" s="444" t="str">
        <f>A28</f>
        <v>IV. čtvrtletí</v>
      </c>
      <c r="B37" s="445"/>
      <c r="C37" s="445"/>
      <c r="D37" s="445"/>
      <c r="E37" s="445"/>
      <c r="F37" s="109"/>
      <c r="G37" s="446" t="str">
        <f>A28</f>
        <v>IV. čtvrtletí</v>
      </c>
      <c r="H37" s="446"/>
      <c r="I37" s="446"/>
      <c r="J37" s="446"/>
      <c r="K37" s="446"/>
      <c r="M37" s="68"/>
      <c r="N37" s="68"/>
      <c r="O37" s="68"/>
      <c r="P37" s="68"/>
      <c r="Q37" s="68"/>
      <c r="R37" s="68"/>
      <c r="S37" s="68"/>
    </row>
    <row r="38" spans="1:20" ht="15" customHeight="1">
      <c r="A38" s="83"/>
      <c r="B38" s="83"/>
      <c r="C38" s="83"/>
      <c r="G38" s="83"/>
      <c r="H38" s="83"/>
      <c r="I38" s="83"/>
      <c r="J38" s="83"/>
      <c r="K38" s="83"/>
      <c r="M38" s="68"/>
      <c r="N38" s="68"/>
      <c r="O38" s="68"/>
      <c r="P38" s="68"/>
      <c r="Q38" s="68"/>
      <c r="R38" s="68"/>
      <c r="S38" s="68"/>
      <c r="T38" s="68"/>
    </row>
    <row r="39" spans="1:20" ht="15" customHeight="1">
      <c r="A39" s="83"/>
      <c r="B39" s="83"/>
      <c r="C39" s="83"/>
      <c r="G39" s="83"/>
      <c r="H39" s="83"/>
      <c r="I39" s="83"/>
      <c r="J39" s="83"/>
      <c r="K39" s="83"/>
    </row>
    <row r="40" spans="1:20" ht="15" customHeight="1">
      <c r="A40" s="83"/>
      <c r="B40" s="83"/>
      <c r="C40" s="83"/>
      <c r="G40" s="83"/>
      <c r="H40" s="83"/>
      <c r="I40" s="83"/>
      <c r="J40" s="83"/>
      <c r="K40" s="83"/>
    </row>
    <row r="41" spans="1:20" ht="15" customHeight="1">
      <c r="A41" s="83"/>
      <c r="B41" s="83"/>
      <c r="C41" s="83">
        <f>D3</f>
        <v>2025</v>
      </c>
      <c r="D41" s="83">
        <f>I3</f>
        <v>2024</v>
      </c>
      <c r="H41" s="83"/>
      <c r="I41" s="83">
        <f>D3</f>
        <v>2025</v>
      </c>
      <c r="J41" s="83">
        <f>I3</f>
        <v>2024</v>
      </c>
      <c r="K41" s="83"/>
    </row>
    <row r="42" spans="1:20" ht="15" customHeight="1">
      <c r="A42" s="83"/>
      <c r="B42" s="83" t="str">
        <f>A7</f>
        <v>Říjen</v>
      </c>
      <c r="C42" s="69">
        <f>E13</f>
        <v>24900.195000000003</v>
      </c>
      <c r="D42" s="69">
        <f>I13</f>
        <v>21782.302</v>
      </c>
      <c r="H42" s="83" t="str">
        <f>A7</f>
        <v>Říjen</v>
      </c>
      <c r="I42" s="84">
        <f>E13/E34</f>
        <v>0.26265886068375838</v>
      </c>
      <c r="J42" s="84">
        <f>I13/I34</f>
        <v>0.2386490464408966</v>
      </c>
      <c r="K42" s="83"/>
    </row>
    <row r="43" spans="1:20" ht="15" customHeight="1">
      <c r="A43" s="83"/>
      <c r="B43" s="83" t="str">
        <f>A14</f>
        <v>Listopad</v>
      </c>
      <c r="C43" s="69">
        <f>E20</f>
        <v>33463.383000999987</v>
      </c>
      <c r="D43" s="69">
        <f>I20</f>
        <v>32935.732999</v>
      </c>
      <c r="H43" s="83" t="str">
        <f>A14</f>
        <v>Listopad</v>
      </c>
      <c r="I43" s="84">
        <f>E20/E34</f>
        <v>0.35298735827839511</v>
      </c>
      <c r="J43" s="84">
        <f>I20/I34</f>
        <v>0.36084713516704164</v>
      </c>
      <c r="K43" s="83"/>
    </row>
    <row r="44" spans="1:20" ht="15" customHeight="1">
      <c r="A44" s="83"/>
      <c r="B44" s="83" t="str">
        <f>A21</f>
        <v>Prosinec</v>
      </c>
      <c r="C44" s="69">
        <f>E27</f>
        <v>36436.936001000002</v>
      </c>
      <c r="D44" s="69">
        <f>I27</f>
        <v>36555.332001000002</v>
      </c>
      <c r="H44" s="83" t="str">
        <f>A21</f>
        <v>Prosinec</v>
      </c>
      <c r="I44" s="84">
        <f>E27/E34</f>
        <v>0.38435378103784645</v>
      </c>
      <c r="J44" s="84">
        <f>I27/I34</f>
        <v>0.40050381839206178</v>
      </c>
      <c r="K44" s="83"/>
    </row>
    <row r="45" spans="1:20" ht="15" customHeight="1">
      <c r="A45" s="83"/>
      <c r="B45" s="83"/>
      <c r="C45" s="69">
        <f>SUM(C42:C44)</f>
        <v>94800.514001999982</v>
      </c>
      <c r="D45" s="69">
        <f>SUM(D42:D44)</f>
        <v>91273.366999999998</v>
      </c>
      <c r="E45" s="83"/>
      <c r="F45" s="83"/>
      <c r="G45" s="83"/>
      <c r="H45" s="83"/>
      <c r="I45" s="85">
        <f>SUM(I42:I44)</f>
        <v>0.99999999999999989</v>
      </c>
      <c r="J45" s="85">
        <f>SUM(J42:J44)</f>
        <v>1</v>
      </c>
      <c r="K45" s="83"/>
    </row>
    <row r="46" spans="1:20" ht="15" customHeight="1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</row>
    <row r="47" spans="1:20" ht="15" customHeight="1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</row>
    <row r="48" spans="1:20" ht="15" customHeight="1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</row>
    <row r="49" spans="1:11" ht="15" customHeight="1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</row>
    <row r="50" spans="1:11" ht="15" customHeight="1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</row>
    <row r="51" spans="1:11" ht="15" customHeight="1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</row>
    <row r="52" spans="1:11" ht="15" customHeight="1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</row>
    <row r="53" spans="1:11" ht="15" customHeight="1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</row>
    <row r="54" spans="1:11" ht="15" customHeight="1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</row>
    <row r="55" spans="1:11" ht="15" customHeight="1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</row>
    <row r="56" spans="1:11" ht="15" customHeight="1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</row>
    <row r="57" spans="1:11" ht="15" customHeight="1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</row>
    <row r="58" spans="1:11" ht="15" customHeight="1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</row>
    <row r="59" spans="1:11" ht="15" customHeight="1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</row>
    <row r="60" spans="1:11" ht="15" customHeight="1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</row>
    <row r="61" spans="1:11" ht="15" customHeight="1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</row>
    <row r="62" spans="1:11" ht="15" customHeight="1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1" ht="15" customHeight="1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1" ht="15" customHeight="1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21">
    <mergeCell ref="A5:B6"/>
    <mergeCell ref="A37:E37"/>
    <mergeCell ref="G37:K37"/>
    <mergeCell ref="A7:B13"/>
    <mergeCell ref="A14:B20"/>
    <mergeCell ref="A21:B27"/>
    <mergeCell ref="A28:B34"/>
    <mergeCell ref="A36:E36"/>
    <mergeCell ref="G5:G6"/>
    <mergeCell ref="H5:H6"/>
    <mergeCell ref="K5:K6"/>
    <mergeCell ref="E5:F5"/>
    <mergeCell ref="I5:J5"/>
    <mergeCell ref="G35:K36"/>
    <mergeCell ref="D5:D6"/>
    <mergeCell ref="C5:C6"/>
    <mergeCell ref="A1:K1"/>
    <mergeCell ref="A2:C2"/>
    <mergeCell ref="I3:K4"/>
    <mergeCell ref="E3:G4"/>
    <mergeCell ref="A3:C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4" 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7"/>
  <dimension ref="A1:U90"/>
  <sheetViews>
    <sheetView showGridLines="0" topLeftCell="A17" zoomScaleNormal="100" zoomScaleSheetLayoutView="100" workbookViewId="0">
      <selection activeCell="G1" sqref="G1"/>
    </sheetView>
  </sheetViews>
  <sheetFormatPr defaultColWidth="9.1796875" defaultRowHeight="12.5"/>
  <cols>
    <col min="1" max="1" width="9.453125" style="67" customWidth="1"/>
    <col min="2" max="2" width="3.81640625" style="67" customWidth="1"/>
    <col min="3" max="11" width="9.54296875" style="67" customWidth="1"/>
    <col min="12" max="13" width="9.1796875" style="67"/>
    <col min="14" max="14" width="11.1796875" style="67" customWidth="1"/>
    <col min="15" max="16384" width="9.1796875" style="67"/>
  </cols>
  <sheetData>
    <row r="1" spans="1:21" s="76" customFormat="1" ht="18">
      <c r="A1" s="437" t="s">
        <v>285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</row>
    <row r="2" spans="1:21" ht="6" customHeight="1">
      <c r="A2" s="452"/>
      <c r="B2" s="452"/>
      <c r="C2" s="452"/>
      <c r="D2" s="290"/>
      <c r="E2" s="290"/>
      <c r="F2" s="291"/>
      <c r="G2" s="292"/>
      <c r="H2" s="292"/>
      <c r="I2" s="292"/>
      <c r="J2" s="257"/>
      <c r="K2" s="257"/>
    </row>
    <row r="3" spans="1:21" ht="15" customHeight="1">
      <c r="A3" s="463" t="s">
        <v>33</v>
      </c>
      <c r="B3" s="463"/>
      <c r="C3" s="463"/>
      <c r="D3" s="316">
        <f>'3.1'!A4</f>
        <v>2025</v>
      </c>
      <c r="E3" s="458"/>
      <c r="F3" s="458"/>
      <c r="G3" s="458"/>
      <c r="H3" s="315"/>
      <c r="I3" s="457">
        <f>D3-1</f>
        <v>2024</v>
      </c>
      <c r="J3" s="458"/>
      <c r="K3" s="458"/>
    </row>
    <row r="4" spans="1:21" ht="50.15" customHeight="1">
      <c r="A4" s="464"/>
      <c r="B4" s="464"/>
      <c r="C4" s="464"/>
      <c r="D4" s="318"/>
      <c r="E4" s="460"/>
      <c r="F4" s="460"/>
      <c r="G4" s="460"/>
      <c r="H4" s="157"/>
      <c r="I4" s="459"/>
      <c r="J4" s="460"/>
      <c r="K4" s="460"/>
    </row>
    <row r="5" spans="1:21" ht="25" customHeight="1">
      <c r="A5" s="463" t="s">
        <v>155</v>
      </c>
      <c r="B5" s="463"/>
      <c r="C5" s="465" t="s">
        <v>180</v>
      </c>
      <c r="D5" s="461" t="s">
        <v>156</v>
      </c>
      <c r="E5" s="455" t="s">
        <v>59</v>
      </c>
      <c r="F5" s="455"/>
      <c r="G5" s="456" t="s">
        <v>32</v>
      </c>
      <c r="H5" s="456" t="s">
        <v>256</v>
      </c>
      <c r="I5" s="453" t="s">
        <v>59</v>
      </c>
      <c r="J5" s="454"/>
      <c r="K5" s="456" t="s">
        <v>32</v>
      </c>
    </row>
    <row r="6" spans="1:21" ht="22.5" customHeight="1">
      <c r="A6" s="464"/>
      <c r="B6" s="464"/>
      <c r="C6" s="466"/>
      <c r="D6" s="462"/>
      <c r="E6" s="201" t="s">
        <v>247</v>
      </c>
      <c r="F6" s="201" t="s">
        <v>248</v>
      </c>
      <c r="G6" s="442"/>
      <c r="H6" s="442"/>
      <c r="I6" s="203" t="s">
        <v>247</v>
      </c>
      <c r="J6" s="201" t="s">
        <v>248</v>
      </c>
      <c r="K6" s="442"/>
    </row>
    <row r="7" spans="1:21" ht="13" customHeight="1">
      <c r="A7" s="397" t="str">
        <f>'3.1'!D5</f>
        <v>Říjen</v>
      </c>
      <c r="B7" s="397"/>
      <c r="C7" s="147" t="s">
        <v>4</v>
      </c>
      <c r="D7" s="287">
        <v>102</v>
      </c>
      <c r="E7" s="283">
        <v>2048.7089999999998</v>
      </c>
      <c r="F7" s="283">
        <v>22379.074958999998</v>
      </c>
      <c r="G7" s="284">
        <f t="shared" ref="G7:G12" si="0">E7/$E$13</f>
        <v>0.82590707576360978</v>
      </c>
      <c r="H7" s="284">
        <f>(E7-I7)/I7</f>
        <v>-0.92764521071284112</v>
      </c>
      <c r="I7" s="287">
        <v>28314.767</v>
      </c>
      <c r="J7" s="283">
        <v>309904.7992699999</v>
      </c>
      <c r="K7" s="284">
        <f>I7/$I$13</f>
        <v>0.98131074307816557</v>
      </c>
      <c r="M7" s="79"/>
      <c r="N7" s="79"/>
      <c r="O7" s="79"/>
      <c r="P7" s="79"/>
      <c r="Q7" s="79"/>
      <c r="R7" s="79"/>
      <c r="S7" s="79"/>
      <c r="T7" s="79"/>
      <c r="U7" s="79"/>
    </row>
    <row r="8" spans="1:21" ht="13" customHeight="1">
      <c r="A8" s="398"/>
      <c r="B8" s="398"/>
      <c r="C8" s="137" t="s">
        <v>5</v>
      </c>
      <c r="D8" s="288">
        <v>120</v>
      </c>
      <c r="E8" s="113">
        <v>53.185000000000002</v>
      </c>
      <c r="F8" s="113">
        <v>559.95299999999997</v>
      </c>
      <c r="G8" s="282">
        <f t="shared" si="0"/>
        <v>2.1440755043536E-2</v>
      </c>
      <c r="H8" s="282">
        <f t="shared" ref="H8:H11" si="1">(E8-I8)/I8</f>
        <v>0.28702448940083258</v>
      </c>
      <c r="I8" s="288">
        <v>41.323999999999998</v>
      </c>
      <c r="J8" s="113">
        <v>434.03399999999999</v>
      </c>
      <c r="K8" s="282">
        <f t="shared" ref="K8:K12" si="2">I8/$I$13</f>
        <v>1.4321744249903986E-3</v>
      </c>
      <c r="L8" s="68"/>
      <c r="M8" s="79"/>
      <c r="N8" s="79"/>
      <c r="O8" s="79"/>
      <c r="P8" s="79"/>
      <c r="Q8" s="79"/>
      <c r="R8" s="79"/>
      <c r="S8" s="79"/>
    </row>
    <row r="9" spans="1:21" ht="13" customHeight="1">
      <c r="A9" s="398"/>
      <c r="B9" s="398"/>
      <c r="C9" s="137" t="s">
        <v>6</v>
      </c>
      <c r="D9" s="288">
        <v>1191</v>
      </c>
      <c r="E9" s="113">
        <v>115.794</v>
      </c>
      <c r="F9" s="113">
        <v>1216.857</v>
      </c>
      <c r="G9" s="282">
        <f t="shared" si="0"/>
        <v>4.6680657883072435E-2</v>
      </c>
      <c r="H9" s="282">
        <f t="shared" si="1"/>
        <v>-0.50650778632981319</v>
      </c>
      <c r="I9" s="288">
        <v>234.64200000000002</v>
      </c>
      <c r="J9" s="113">
        <v>2464.4499999999998</v>
      </c>
      <c r="K9" s="282">
        <f t="shared" si="2"/>
        <v>8.1320363814876874E-3</v>
      </c>
      <c r="L9" s="68"/>
      <c r="M9" s="79"/>
      <c r="N9" s="79"/>
      <c r="O9" s="79"/>
      <c r="P9" s="79"/>
      <c r="Q9" s="79"/>
      <c r="R9" s="79"/>
      <c r="S9" s="79"/>
    </row>
    <row r="10" spans="1:21" ht="13" customHeight="1">
      <c r="A10" s="398"/>
      <c r="B10" s="398"/>
      <c r="C10" s="137" t="s">
        <v>7</v>
      </c>
      <c r="D10" s="288">
        <v>8072</v>
      </c>
      <c r="E10" s="113">
        <v>0.02</v>
      </c>
      <c r="F10" s="113">
        <v>0.218</v>
      </c>
      <c r="G10" s="282">
        <f t="shared" si="0"/>
        <v>8.0627075466902319E-6</v>
      </c>
      <c r="H10" s="319" t="e">
        <f t="shared" si="1"/>
        <v>#DIV/0!</v>
      </c>
      <c r="I10" s="288">
        <v>0</v>
      </c>
      <c r="J10" s="113">
        <v>0</v>
      </c>
      <c r="K10" s="282">
        <f t="shared" si="2"/>
        <v>0</v>
      </c>
      <c r="L10" s="68"/>
      <c r="M10" s="79"/>
      <c r="N10" s="79"/>
      <c r="O10" s="79"/>
      <c r="P10" s="79"/>
      <c r="Q10" s="79"/>
      <c r="R10" s="79"/>
      <c r="S10" s="79"/>
    </row>
    <row r="11" spans="1:21" ht="13" customHeight="1">
      <c r="A11" s="398"/>
      <c r="B11" s="398"/>
      <c r="C11" s="137" t="s">
        <v>90</v>
      </c>
      <c r="D11" s="288">
        <v>8</v>
      </c>
      <c r="E11" s="113">
        <v>41.411000000000001</v>
      </c>
      <c r="F11" s="113">
        <v>433.84400000000005</v>
      </c>
      <c r="G11" s="282">
        <f t="shared" si="0"/>
        <v>1.6694239110799459E-2</v>
      </c>
      <c r="H11" s="282">
        <f t="shared" si="1"/>
        <v>-0.41738653310447676</v>
      </c>
      <c r="I11" s="288">
        <v>71.078000000000003</v>
      </c>
      <c r="J11" s="113">
        <v>742.38100000000009</v>
      </c>
      <c r="K11" s="282">
        <f t="shared" si="2"/>
        <v>2.4633649641725769E-3</v>
      </c>
      <c r="L11" s="68"/>
      <c r="M11" s="79"/>
      <c r="N11" s="79"/>
      <c r="O11" s="79"/>
      <c r="P11" s="79"/>
      <c r="Q11" s="79"/>
      <c r="R11" s="79"/>
      <c r="S11" s="79"/>
    </row>
    <row r="12" spans="1:21" ht="13" customHeight="1">
      <c r="A12" s="398"/>
      <c r="B12" s="398"/>
      <c r="C12" s="137" t="s">
        <v>93</v>
      </c>
      <c r="D12" s="288">
        <v>0</v>
      </c>
      <c r="E12" s="113">
        <v>221.4373000000007</v>
      </c>
      <c r="F12" s="113">
        <v>2431.9609429999855</v>
      </c>
      <c r="G12" s="282">
        <f t="shared" si="0"/>
        <v>8.9269209491435728E-2</v>
      </c>
      <c r="H12" s="282">
        <f>(E12-I12)/I12</f>
        <v>0.15202126687155526</v>
      </c>
      <c r="I12" s="288">
        <v>192.2163299999998</v>
      </c>
      <c r="J12" s="113">
        <v>2269.5138473690085</v>
      </c>
      <c r="K12" s="282">
        <f t="shared" si="2"/>
        <v>6.6616811511836811E-3</v>
      </c>
      <c r="L12" s="68"/>
      <c r="M12" s="79"/>
      <c r="N12" s="79"/>
      <c r="O12" s="79"/>
      <c r="P12" s="79"/>
      <c r="Q12" s="79"/>
      <c r="R12" s="79"/>
      <c r="S12" s="79"/>
    </row>
    <row r="13" spans="1:21" ht="13" customHeight="1">
      <c r="A13" s="399"/>
      <c r="B13" s="399"/>
      <c r="C13" s="293" t="s">
        <v>0</v>
      </c>
      <c r="D13" s="296">
        <v>9493</v>
      </c>
      <c r="E13" s="294">
        <v>2480.5563000000002</v>
      </c>
      <c r="F13" s="294">
        <v>27021.907901999984</v>
      </c>
      <c r="G13" s="295">
        <f>SUM(G7:G12)</f>
        <v>1.0000000000000002</v>
      </c>
      <c r="H13" s="295">
        <f>(E13-I13)/I13</f>
        <v>-0.91403084666032308</v>
      </c>
      <c r="I13" s="296">
        <v>28854.027330000001</v>
      </c>
      <c r="J13" s="294">
        <v>315815.17811736889</v>
      </c>
      <c r="K13" s="295">
        <f>SUM(K7:K12)</f>
        <v>1</v>
      </c>
      <c r="L13" s="68"/>
      <c r="M13" s="79"/>
      <c r="N13" s="79"/>
      <c r="O13" s="79"/>
      <c r="P13" s="79"/>
      <c r="Q13" s="79"/>
      <c r="R13" s="79"/>
      <c r="S13" s="79"/>
    </row>
    <row r="14" spans="1:21" ht="13" customHeight="1">
      <c r="A14" s="397" t="str">
        <f>'3.1'!E5</f>
        <v>Listopad</v>
      </c>
      <c r="B14" s="397"/>
      <c r="C14" s="147" t="s">
        <v>4</v>
      </c>
      <c r="D14" s="287">
        <v>96</v>
      </c>
      <c r="E14" s="283">
        <v>2083.6669999999999</v>
      </c>
      <c r="F14" s="283">
        <v>22668.968899</v>
      </c>
      <c r="G14" s="284">
        <f>E14/$E$20</f>
        <v>0.78478366185050796</v>
      </c>
      <c r="H14" s="284">
        <f>(E14-I14)/I14</f>
        <v>-0.96561070930863213</v>
      </c>
      <c r="I14" s="287">
        <v>60590.577999999994</v>
      </c>
      <c r="J14" s="283">
        <v>661196.64416399982</v>
      </c>
      <c r="K14" s="284">
        <f>I14/$I$20</f>
        <v>0.98770635987045108</v>
      </c>
      <c r="L14" s="68"/>
      <c r="M14" s="79"/>
      <c r="N14" s="79"/>
      <c r="O14" s="79"/>
      <c r="P14" s="79"/>
      <c r="Q14" s="79"/>
      <c r="R14" s="79"/>
      <c r="S14" s="79"/>
    </row>
    <row r="15" spans="1:21" ht="13" customHeight="1">
      <c r="A15" s="398"/>
      <c r="B15" s="398"/>
      <c r="C15" s="137" t="s">
        <v>5</v>
      </c>
      <c r="D15" s="288">
        <v>118</v>
      </c>
      <c r="E15" s="113">
        <v>79.513999999999996</v>
      </c>
      <c r="F15" s="113">
        <v>837.54300000000001</v>
      </c>
      <c r="G15" s="282">
        <f t="shared" ref="G15:G19" si="3">E15/$E$20</f>
        <v>2.9947821839277241E-2</v>
      </c>
      <c r="H15" s="282">
        <f t="shared" ref="H15:H17" si="4">(E15-I15)/I15</f>
        <v>3.3692127146768445E-3</v>
      </c>
      <c r="I15" s="288">
        <v>79.247</v>
      </c>
      <c r="J15" s="113">
        <v>833.66099999999994</v>
      </c>
      <c r="K15" s="282">
        <f t="shared" ref="K15:K19" si="5">I15/$I$20</f>
        <v>1.2918306522947123E-3</v>
      </c>
      <c r="L15" s="86"/>
      <c r="M15" s="79"/>
      <c r="N15" s="79"/>
      <c r="O15" s="79"/>
      <c r="P15" s="79"/>
      <c r="Q15" s="79"/>
      <c r="R15" s="79"/>
      <c r="S15" s="79"/>
    </row>
    <row r="16" spans="1:21" ht="13" customHeight="1">
      <c r="A16" s="398"/>
      <c r="B16" s="398"/>
      <c r="C16" s="137" t="s">
        <v>6</v>
      </c>
      <c r="D16" s="288">
        <v>1175</v>
      </c>
      <c r="E16" s="113">
        <v>143.946</v>
      </c>
      <c r="F16" s="113">
        <v>1512.5769999999998</v>
      </c>
      <c r="G16" s="282">
        <f t="shared" si="3"/>
        <v>5.4215222004635688E-2</v>
      </c>
      <c r="H16" s="282">
        <f t="shared" si="4"/>
        <v>-0.41182671798769271</v>
      </c>
      <c r="I16" s="288">
        <v>244.73399999999998</v>
      </c>
      <c r="J16" s="113">
        <v>2570.5309999999999</v>
      </c>
      <c r="K16" s="282">
        <f>I16/$I$20</f>
        <v>3.9894870829014868E-3</v>
      </c>
      <c r="L16" s="68"/>
      <c r="M16" s="79"/>
      <c r="N16" s="79"/>
      <c r="O16" s="79"/>
      <c r="P16" s="79"/>
      <c r="Q16" s="79"/>
      <c r="R16" s="79"/>
      <c r="S16" s="79"/>
    </row>
    <row r="17" spans="1:20" ht="13" customHeight="1">
      <c r="A17" s="398"/>
      <c r="B17" s="398"/>
      <c r="C17" s="137" t="s">
        <v>7</v>
      </c>
      <c r="D17" s="288">
        <v>8072</v>
      </c>
      <c r="E17" s="113">
        <v>0</v>
      </c>
      <c r="F17" s="113">
        <v>0</v>
      </c>
      <c r="G17" s="282">
        <f t="shared" si="3"/>
        <v>0</v>
      </c>
      <c r="H17" s="319" t="e">
        <f t="shared" si="4"/>
        <v>#DIV/0!</v>
      </c>
      <c r="I17" s="288">
        <v>0</v>
      </c>
      <c r="J17" s="113">
        <v>0</v>
      </c>
      <c r="K17" s="282">
        <f>I17/$I$20</f>
        <v>0</v>
      </c>
      <c r="L17" s="68"/>
      <c r="M17" s="79"/>
      <c r="N17" s="79"/>
      <c r="O17" s="79"/>
      <c r="P17" s="79"/>
      <c r="Q17" s="79"/>
      <c r="R17" s="79"/>
      <c r="S17" s="79"/>
    </row>
    <row r="18" spans="1:20" ht="13" customHeight="1">
      <c r="A18" s="398"/>
      <c r="B18" s="398"/>
      <c r="C18" s="137" t="s">
        <v>90</v>
      </c>
      <c r="D18" s="288">
        <v>8</v>
      </c>
      <c r="E18" s="113">
        <v>39.622</v>
      </c>
      <c r="F18" s="113">
        <v>414.34000000000003</v>
      </c>
      <c r="G18" s="282">
        <f t="shared" si="3"/>
        <v>1.4923065081820093E-2</v>
      </c>
      <c r="H18" s="282">
        <f>(E18-I18)/I18</f>
        <v>-0.3843596078248574</v>
      </c>
      <c r="I18" s="288">
        <v>64.358999999999995</v>
      </c>
      <c r="J18" s="113">
        <v>671.55600000000004</v>
      </c>
      <c r="K18" s="282">
        <f>I18/$I$20</f>
        <v>1.0491366102317486E-3</v>
      </c>
      <c r="L18" s="68"/>
      <c r="M18" s="79"/>
      <c r="N18" s="79"/>
      <c r="O18" s="79"/>
      <c r="P18" s="79"/>
      <c r="Q18" s="79"/>
      <c r="R18" s="79"/>
      <c r="S18" s="79"/>
    </row>
    <row r="19" spans="1:20" ht="13" customHeight="1">
      <c r="A19" s="398"/>
      <c r="B19" s="398"/>
      <c r="C19" s="137" t="s">
        <v>93</v>
      </c>
      <c r="D19" s="288">
        <v>0</v>
      </c>
      <c r="E19" s="113">
        <v>308.335580999998</v>
      </c>
      <c r="F19" s="113">
        <v>3608.8624909999853</v>
      </c>
      <c r="G19" s="282">
        <f t="shared" si="3"/>
        <v>0.11613022922375905</v>
      </c>
      <c r="H19" s="282">
        <f t="shared" ref="H19" si="6">(E19-I19)/I19</f>
        <v>-0.15711551742392574</v>
      </c>
      <c r="I19" s="288">
        <v>365.81000999999935</v>
      </c>
      <c r="J19" s="113">
        <v>4182.8937580000011</v>
      </c>
      <c r="K19" s="282">
        <f t="shared" si="5"/>
        <v>5.9631857841209689E-3</v>
      </c>
      <c r="L19" s="68"/>
      <c r="M19" s="79"/>
      <c r="N19" s="79"/>
      <c r="O19" s="79"/>
      <c r="P19" s="79"/>
      <c r="Q19" s="79"/>
      <c r="R19" s="79"/>
      <c r="S19" s="79"/>
    </row>
    <row r="20" spans="1:20" ht="13" customHeight="1">
      <c r="A20" s="399"/>
      <c r="B20" s="399"/>
      <c r="C20" s="293" t="s">
        <v>0</v>
      </c>
      <c r="D20" s="296">
        <v>9469</v>
      </c>
      <c r="E20" s="294">
        <v>2655.0845809999978</v>
      </c>
      <c r="F20" s="294">
        <v>29042.291389999988</v>
      </c>
      <c r="G20" s="295">
        <f>SUM(G14:G19)</f>
        <v>1</v>
      </c>
      <c r="H20" s="295">
        <f>(E20-I20)/I20</f>
        <v>-0.95671861841873063</v>
      </c>
      <c r="I20" s="296">
        <v>61344.728009999992</v>
      </c>
      <c r="J20" s="294">
        <v>669455.28592199972</v>
      </c>
      <c r="K20" s="295">
        <f>SUM(K14:K19)</f>
        <v>1</v>
      </c>
      <c r="L20" s="68"/>
      <c r="M20" s="79"/>
      <c r="N20" s="79"/>
      <c r="O20" s="79"/>
      <c r="P20" s="79"/>
      <c r="Q20" s="79"/>
      <c r="R20" s="79"/>
      <c r="S20" s="79"/>
    </row>
    <row r="21" spans="1:20" ht="13" customHeight="1">
      <c r="A21" s="397" t="str">
        <f>'3.1'!F5</f>
        <v>Prosinec</v>
      </c>
      <c r="B21" s="397"/>
      <c r="C21" s="147" t="s">
        <v>4</v>
      </c>
      <c r="D21" s="287">
        <v>97</v>
      </c>
      <c r="E21" s="283">
        <v>36473.142</v>
      </c>
      <c r="F21" s="283">
        <v>400754.24164200004</v>
      </c>
      <c r="G21" s="284">
        <f>E21/$E$27</f>
        <v>0.97416185991741466</v>
      </c>
      <c r="H21" s="284">
        <f>(E21-I21)/I21</f>
        <v>9.1649700962535302E-2</v>
      </c>
      <c r="I21" s="287">
        <v>33411.031000000003</v>
      </c>
      <c r="J21" s="283">
        <v>363856.94614999997</v>
      </c>
      <c r="K21" s="284">
        <f>I21/$I$27</f>
        <v>0.82370977344811802</v>
      </c>
      <c r="L21" s="78"/>
      <c r="M21" s="79"/>
      <c r="N21" s="79"/>
      <c r="O21" s="79"/>
      <c r="P21" s="79"/>
      <c r="Q21" s="79"/>
      <c r="R21" s="79"/>
      <c r="S21" s="79"/>
      <c r="T21" s="78"/>
    </row>
    <row r="22" spans="1:20" ht="13" customHeight="1">
      <c r="A22" s="398"/>
      <c r="B22" s="398"/>
      <c r="C22" s="137" t="s">
        <v>5</v>
      </c>
      <c r="D22" s="288">
        <v>119</v>
      </c>
      <c r="E22" s="113">
        <v>90.021000000000001</v>
      </c>
      <c r="F22" s="113">
        <v>956.06299999999999</v>
      </c>
      <c r="G22" s="282">
        <f t="shared" ref="G22:G26" si="7">E22/$E$27</f>
        <v>2.4043726419738006E-3</v>
      </c>
      <c r="H22" s="282">
        <f t="shared" ref="H22:H26" si="8">(E22-I22)/I22</f>
        <v>5.9223832564168589E-3</v>
      </c>
      <c r="I22" s="288">
        <v>89.491</v>
      </c>
      <c r="J22" s="113">
        <v>949.24400000000003</v>
      </c>
      <c r="K22" s="282">
        <f t="shared" ref="K22:K26" si="9">I22/$I$27</f>
        <v>2.2062956194211884E-3</v>
      </c>
      <c r="L22" s="78"/>
      <c r="M22" s="79"/>
      <c r="N22" s="79"/>
      <c r="O22" s="79"/>
      <c r="P22" s="79"/>
      <c r="Q22" s="79"/>
      <c r="R22" s="79"/>
      <c r="S22" s="79"/>
      <c r="T22" s="78"/>
    </row>
    <row r="23" spans="1:20" ht="13" customHeight="1">
      <c r="A23" s="398"/>
      <c r="B23" s="398"/>
      <c r="C23" s="137" t="s">
        <v>6</v>
      </c>
      <c r="D23" s="288">
        <v>1168</v>
      </c>
      <c r="E23" s="113">
        <v>156.85900000000001</v>
      </c>
      <c r="F23" s="113">
        <v>1650.1510000000001</v>
      </c>
      <c r="G23" s="282">
        <f t="shared" si="7"/>
        <v>4.1895500855063644E-3</v>
      </c>
      <c r="H23" s="282">
        <f t="shared" si="8"/>
        <v>1.3386137078695442E-2</v>
      </c>
      <c r="I23" s="288">
        <v>154.78699999999998</v>
      </c>
      <c r="J23" s="113">
        <v>1627.569</v>
      </c>
      <c r="K23" s="282">
        <f t="shared" si="9"/>
        <v>3.8160918979936241E-3</v>
      </c>
      <c r="L23" s="78"/>
      <c r="M23" s="79"/>
      <c r="N23" s="79"/>
      <c r="O23" s="79"/>
      <c r="P23" s="79"/>
      <c r="Q23" s="79"/>
      <c r="R23" s="79"/>
      <c r="S23" s="79"/>
      <c r="T23" s="78"/>
    </row>
    <row r="24" spans="1:20" ht="13" customHeight="1">
      <c r="A24" s="398"/>
      <c r="B24" s="398"/>
      <c r="C24" s="137" t="s">
        <v>7</v>
      </c>
      <c r="D24" s="288">
        <v>8075</v>
      </c>
      <c r="E24" s="113">
        <v>206.083</v>
      </c>
      <c r="F24" s="113">
        <v>2197.0709999999999</v>
      </c>
      <c r="G24" s="282">
        <f t="shared" si="7"/>
        <v>5.5042748600425094E-3</v>
      </c>
      <c r="H24" s="319">
        <f t="shared" si="8"/>
        <v>0.14409197903712923</v>
      </c>
      <c r="I24" s="288">
        <v>180.12799999999999</v>
      </c>
      <c r="J24" s="113">
        <v>1922.5360000000001</v>
      </c>
      <c r="K24" s="282">
        <f t="shared" si="9"/>
        <v>4.4408445244225646E-3</v>
      </c>
      <c r="L24" s="78"/>
      <c r="M24" s="79"/>
      <c r="N24" s="79"/>
      <c r="O24" s="79"/>
      <c r="P24" s="79"/>
      <c r="Q24" s="79"/>
      <c r="R24" s="79"/>
      <c r="S24" s="79"/>
      <c r="T24" s="78"/>
    </row>
    <row r="25" spans="1:20" ht="13" customHeight="1">
      <c r="A25" s="398"/>
      <c r="B25" s="398"/>
      <c r="C25" s="137" t="s">
        <v>90</v>
      </c>
      <c r="D25" s="288">
        <v>8</v>
      </c>
      <c r="E25" s="113">
        <v>30.838999999999999</v>
      </c>
      <c r="F25" s="113">
        <v>322.44</v>
      </c>
      <c r="G25" s="282">
        <f t="shared" si="7"/>
        <v>8.2367945152608867E-4</v>
      </c>
      <c r="H25" s="282">
        <f>(E25-I25)/I25</f>
        <v>-0.43271034914094408</v>
      </c>
      <c r="I25" s="288">
        <v>54.362000000000002</v>
      </c>
      <c r="J25" s="113">
        <v>567.54899999999998</v>
      </c>
      <c r="K25" s="282">
        <f t="shared" si="9"/>
        <v>1.3402313356982785E-3</v>
      </c>
      <c r="L25" s="78"/>
      <c r="M25" s="79"/>
      <c r="N25" s="79"/>
      <c r="O25" s="79"/>
      <c r="P25" s="79"/>
      <c r="Q25" s="79"/>
      <c r="R25" s="79"/>
      <c r="S25" s="79"/>
      <c r="T25" s="78"/>
    </row>
    <row r="26" spans="1:20" ht="13" customHeight="1">
      <c r="A26" s="398"/>
      <c r="B26" s="398"/>
      <c r="C26" s="137" t="s">
        <v>93</v>
      </c>
      <c r="D26" s="288">
        <v>0</v>
      </c>
      <c r="E26" s="113">
        <v>483.59180900000013</v>
      </c>
      <c r="F26" s="113">
        <v>5409.2816670000029</v>
      </c>
      <c r="G26" s="282">
        <f t="shared" si="7"/>
        <v>1.2916263043536729E-2</v>
      </c>
      <c r="H26" s="282">
        <f t="shared" si="8"/>
        <v>-0.92751764032960771</v>
      </c>
      <c r="I26" s="288">
        <v>6671.8552099999988</v>
      </c>
      <c r="J26" s="113">
        <v>74124.87423099998</v>
      </c>
      <c r="K26" s="282">
        <f t="shared" si="9"/>
        <v>0.16448676317434635</v>
      </c>
      <c r="L26" s="78"/>
      <c r="M26" s="79"/>
      <c r="N26" s="79"/>
      <c r="O26" s="79"/>
      <c r="P26" s="79"/>
      <c r="Q26" s="79"/>
      <c r="R26" s="79"/>
      <c r="S26" s="79"/>
      <c r="T26" s="78"/>
    </row>
    <row r="27" spans="1:20" ht="13" customHeight="1">
      <c r="A27" s="399"/>
      <c r="B27" s="399"/>
      <c r="C27" s="293" t="s">
        <v>0</v>
      </c>
      <c r="D27" s="296">
        <v>9467</v>
      </c>
      <c r="E27" s="294">
        <v>37440.535808999994</v>
      </c>
      <c r="F27" s="294">
        <v>411289.24830900005</v>
      </c>
      <c r="G27" s="295">
        <f>SUM(G21:G26)</f>
        <v>1</v>
      </c>
      <c r="H27" s="295">
        <f>(E27-I27)/I27</f>
        <v>-7.6947512664079953E-2</v>
      </c>
      <c r="I27" s="296">
        <v>40561.654210000001</v>
      </c>
      <c r="J27" s="294">
        <v>443048.71838099998</v>
      </c>
      <c r="K27" s="295">
        <f>SUM(K21:K26)</f>
        <v>1</v>
      </c>
      <c r="M27" s="79"/>
      <c r="N27" s="79"/>
      <c r="O27" s="79"/>
      <c r="P27" s="79"/>
      <c r="Q27" s="79"/>
      <c r="R27" s="79"/>
      <c r="S27" s="79"/>
    </row>
    <row r="28" spans="1:20" ht="13" customHeight="1">
      <c r="A28" s="467" t="str">
        <f>'3.1'!G5</f>
        <v>IV. čtvrtletí</v>
      </c>
      <c r="B28" s="397"/>
      <c r="C28" s="147" t="s">
        <v>4</v>
      </c>
      <c r="D28" s="287">
        <f>D21</f>
        <v>97</v>
      </c>
      <c r="E28" s="283">
        <f>E7+E14+E21</f>
        <v>40605.517999999996</v>
      </c>
      <c r="F28" s="283">
        <f>F7+F14+F21</f>
        <v>445802.28550000006</v>
      </c>
      <c r="G28" s="284">
        <f>E28/$E$34</f>
        <v>0.95371452198846995</v>
      </c>
      <c r="H28" s="284">
        <f>(E28-I28)/I28</f>
        <v>-0.66802876828201652</v>
      </c>
      <c r="I28" s="287">
        <f>I7+I14+I21</f>
        <v>122316.376</v>
      </c>
      <c r="J28" s="283">
        <f>J7+J14+J21</f>
        <v>1334958.3895839998</v>
      </c>
      <c r="K28" s="284">
        <f>I28/$I$34</f>
        <v>0.93542362264649237</v>
      </c>
      <c r="M28" s="79"/>
      <c r="N28" s="79"/>
      <c r="O28" s="79"/>
      <c r="P28" s="79"/>
      <c r="Q28" s="79"/>
      <c r="R28" s="79"/>
      <c r="S28" s="79"/>
    </row>
    <row r="29" spans="1:20" ht="13" customHeight="1">
      <c r="A29" s="398"/>
      <c r="B29" s="398"/>
      <c r="C29" s="137" t="s">
        <v>5</v>
      </c>
      <c r="D29" s="288">
        <f t="shared" ref="D29:D32" si="10">D22</f>
        <v>119</v>
      </c>
      <c r="E29" s="113">
        <f>E8+E15+E22</f>
        <v>222.72000000000003</v>
      </c>
      <c r="F29" s="113">
        <f t="shared" ref="F29" si="11">F8+F15+F22</f>
        <v>2353.5590000000002</v>
      </c>
      <c r="G29" s="282">
        <f t="shared" ref="G29:G33" si="12">E29/$E$34</f>
        <v>5.23109441276607E-3</v>
      </c>
      <c r="H29" s="282">
        <f t="shared" ref="H29:H31" si="13">(E29-I29)/I29</f>
        <v>6.0258399900981682E-2</v>
      </c>
      <c r="I29" s="288">
        <f>I8+I15+I22</f>
        <v>210.06200000000001</v>
      </c>
      <c r="J29" s="113">
        <f t="shared" ref="J29" si="14">J8+J15+J22</f>
        <v>2216.9389999999999</v>
      </c>
      <c r="K29" s="282">
        <f t="shared" ref="K29:K33" si="15">I29/$I$34</f>
        <v>1.6064648368945094E-3</v>
      </c>
      <c r="M29" s="79"/>
      <c r="N29" s="79"/>
      <c r="O29" s="79"/>
      <c r="P29" s="79"/>
      <c r="Q29" s="79"/>
      <c r="R29" s="79"/>
      <c r="S29" s="79"/>
    </row>
    <row r="30" spans="1:20" ht="13" customHeight="1">
      <c r="A30" s="398"/>
      <c r="B30" s="398"/>
      <c r="C30" s="137" t="s">
        <v>6</v>
      </c>
      <c r="D30" s="288">
        <f t="shared" si="10"/>
        <v>1168</v>
      </c>
      <c r="E30" s="113">
        <f t="shared" ref="E30:F33" si="16">E9+E16+E23</f>
        <v>416.59900000000005</v>
      </c>
      <c r="F30" s="113">
        <f t="shared" si="16"/>
        <v>4379.585</v>
      </c>
      <c r="G30" s="282">
        <f t="shared" si="12"/>
        <v>9.7847912233473954E-3</v>
      </c>
      <c r="H30" s="282">
        <f t="shared" si="13"/>
        <v>-0.34307268005228936</v>
      </c>
      <c r="I30" s="288">
        <f t="shared" ref="I30:J32" si="17">I9+I16+I23</f>
        <v>634.16300000000001</v>
      </c>
      <c r="J30" s="113">
        <f t="shared" si="17"/>
        <v>6662.5499999999993</v>
      </c>
      <c r="K30" s="282">
        <f t="shared" si="15"/>
        <v>4.8498089152704095E-3</v>
      </c>
      <c r="M30" s="79"/>
      <c r="N30" s="79"/>
      <c r="O30" s="79"/>
      <c r="P30" s="79"/>
      <c r="Q30" s="79"/>
      <c r="R30" s="79"/>
      <c r="S30" s="79"/>
    </row>
    <row r="31" spans="1:20" ht="13" customHeight="1">
      <c r="A31" s="398"/>
      <c r="B31" s="398"/>
      <c r="C31" s="137" t="s">
        <v>7</v>
      </c>
      <c r="D31" s="288">
        <f t="shared" si="10"/>
        <v>8075</v>
      </c>
      <c r="E31" s="113">
        <f>E10+E17+E24</f>
        <v>206.10300000000001</v>
      </c>
      <c r="F31" s="113">
        <f t="shared" si="16"/>
        <v>2197.2889999999998</v>
      </c>
      <c r="G31" s="282">
        <f t="shared" si="12"/>
        <v>4.8408057280636008E-3</v>
      </c>
      <c r="H31" s="319">
        <f t="shared" si="13"/>
        <v>0.14420301119204135</v>
      </c>
      <c r="I31" s="288">
        <f>I10+I17+I24</f>
        <v>180.12799999999999</v>
      </c>
      <c r="J31" s="113">
        <f t="shared" si="17"/>
        <v>1922.5360000000001</v>
      </c>
      <c r="K31" s="282">
        <f t="shared" si="15"/>
        <v>1.3775423357872158E-3</v>
      </c>
      <c r="M31" s="79"/>
      <c r="N31" s="79"/>
      <c r="O31" s="79"/>
      <c r="P31" s="79"/>
      <c r="Q31" s="79"/>
      <c r="R31" s="79"/>
      <c r="S31" s="79"/>
    </row>
    <row r="32" spans="1:20" ht="13" customHeight="1">
      <c r="A32" s="398"/>
      <c r="B32" s="398"/>
      <c r="C32" s="137" t="s">
        <v>90</v>
      </c>
      <c r="D32" s="288">
        <f t="shared" si="10"/>
        <v>8</v>
      </c>
      <c r="E32" s="113">
        <f>E11+E18+E25</f>
        <v>111.872</v>
      </c>
      <c r="F32" s="113">
        <f t="shared" si="16"/>
        <v>1170.624</v>
      </c>
      <c r="G32" s="282">
        <f t="shared" si="12"/>
        <v>2.627572710780198E-3</v>
      </c>
      <c r="H32" s="282">
        <f>(E32-I32)/I32</f>
        <v>-0.41057645193072673</v>
      </c>
      <c r="I32" s="288">
        <f>I11+I18+I25</f>
        <v>189.79900000000001</v>
      </c>
      <c r="J32" s="113">
        <f t="shared" si="17"/>
        <v>1981.4860000000001</v>
      </c>
      <c r="K32" s="282">
        <f t="shared" si="15"/>
        <v>1.4515020307230293E-3</v>
      </c>
      <c r="M32" s="79"/>
      <c r="N32" s="79"/>
      <c r="O32" s="79"/>
      <c r="P32" s="79"/>
      <c r="Q32" s="79"/>
      <c r="R32" s="79"/>
      <c r="S32" s="79"/>
    </row>
    <row r="33" spans="1:20" ht="13" customHeight="1">
      <c r="A33" s="398"/>
      <c r="B33" s="398"/>
      <c r="C33" s="137" t="s">
        <v>93</v>
      </c>
      <c r="D33" s="288"/>
      <c r="E33" s="113">
        <f t="shared" si="16"/>
        <v>1013.3646899999989</v>
      </c>
      <c r="F33" s="113">
        <f t="shared" si="16"/>
        <v>11450.105100999974</v>
      </c>
      <c r="G33" s="282">
        <f t="shared" si="12"/>
        <v>2.3801213936572439E-2</v>
      </c>
      <c r="H33" s="282">
        <f t="shared" ref="H33" si="18">(E33-I33)/I33</f>
        <v>-0.85983661239927245</v>
      </c>
      <c r="I33" s="288">
        <f t="shared" ref="I33:J33" si="19">I12+I19+I26</f>
        <v>7229.8815499999982</v>
      </c>
      <c r="J33" s="113">
        <f t="shared" si="19"/>
        <v>80577.281836368988</v>
      </c>
      <c r="K33" s="282">
        <f t="shared" si="15"/>
        <v>5.5291059234832428E-2</v>
      </c>
      <c r="M33" s="79"/>
      <c r="N33" s="79"/>
      <c r="O33" s="79"/>
      <c r="P33" s="79"/>
      <c r="Q33" s="79"/>
      <c r="R33" s="79"/>
      <c r="S33" s="79"/>
    </row>
    <row r="34" spans="1:20" ht="13" customHeight="1">
      <c r="A34" s="399"/>
      <c r="B34" s="399"/>
      <c r="C34" s="293" t="s">
        <v>0</v>
      </c>
      <c r="D34" s="296">
        <f>SUM(D28:D33)</f>
        <v>9467</v>
      </c>
      <c r="E34" s="294">
        <f>SUM(E28:E33)</f>
        <v>42576.176690000008</v>
      </c>
      <c r="F34" s="294">
        <f>SUM(F28:F33)</f>
        <v>467353.44760100008</v>
      </c>
      <c r="G34" s="295">
        <f>SUM(G28:G33)</f>
        <v>0.99999999999999956</v>
      </c>
      <c r="H34" s="295">
        <f>(E34-I34)/I34</f>
        <v>-0.67439550826949823</v>
      </c>
      <c r="I34" s="296">
        <f>SUM(I28:I33)</f>
        <v>130760.40955000001</v>
      </c>
      <c r="J34" s="294">
        <f>SUM(J28:J33)</f>
        <v>1428319.182420369</v>
      </c>
      <c r="K34" s="295">
        <f>SUM(K28:K33)</f>
        <v>1</v>
      </c>
      <c r="M34" s="79"/>
      <c r="N34" s="79"/>
      <c r="O34" s="79"/>
      <c r="P34" s="79"/>
      <c r="Q34" s="79"/>
      <c r="R34" s="79"/>
      <c r="S34" s="79"/>
    </row>
    <row r="35" spans="1:20" ht="13" customHeight="1">
      <c r="A35" s="110"/>
      <c r="B35" s="278"/>
      <c r="C35" s="90"/>
      <c r="D35" s="78"/>
      <c r="E35" s="78"/>
      <c r="F35" s="78"/>
      <c r="G35" s="451" t="s">
        <v>258</v>
      </c>
      <c r="H35" s="451"/>
      <c r="I35" s="451"/>
      <c r="J35" s="451"/>
      <c r="K35" s="451"/>
    </row>
    <row r="36" spans="1:20" ht="15" customHeight="1">
      <c r="A36" s="443" t="s">
        <v>257</v>
      </c>
      <c r="B36" s="443"/>
      <c r="C36" s="443"/>
      <c r="D36" s="443"/>
      <c r="E36" s="443"/>
      <c r="F36" s="104"/>
      <c r="G36" s="451"/>
      <c r="H36" s="451"/>
      <c r="I36" s="451"/>
      <c r="J36" s="451"/>
      <c r="K36" s="451"/>
      <c r="M36" s="68"/>
      <c r="N36" s="68"/>
      <c r="O36" s="68"/>
      <c r="P36" s="68"/>
      <c r="Q36" s="68"/>
      <c r="R36" s="68"/>
      <c r="S36" s="68"/>
    </row>
    <row r="37" spans="1:20" ht="15" customHeight="1">
      <c r="A37" s="444" t="str">
        <f>A28</f>
        <v>IV. čtvrtletí</v>
      </c>
      <c r="B37" s="444"/>
      <c r="C37" s="444"/>
      <c r="D37" s="444"/>
      <c r="E37" s="444"/>
      <c r="F37" s="109"/>
      <c r="G37" s="446" t="str">
        <f>A28</f>
        <v>IV. čtvrtletí</v>
      </c>
      <c r="H37" s="446"/>
      <c r="I37" s="446"/>
      <c r="J37" s="446"/>
      <c r="K37" s="446"/>
      <c r="M37" s="68"/>
      <c r="N37" s="68"/>
      <c r="O37" s="68"/>
      <c r="P37" s="68"/>
      <c r="Q37" s="68"/>
      <c r="R37" s="68"/>
      <c r="S37" s="68"/>
    </row>
    <row r="38" spans="1:20" ht="15" customHeight="1">
      <c r="A38" s="83"/>
      <c r="B38" s="83"/>
      <c r="C38" s="83"/>
      <c r="G38" s="83"/>
      <c r="H38" s="83"/>
      <c r="I38" s="83"/>
      <c r="J38" s="83"/>
      <c r="K38" s="83"/>
      <c r="M38" s="68"/>
      <c r="N38" s="68"/>
      <c r="O38" s="68"/>
      <c r="P38" s="68"/>
      <c r="Q38" s="68"/>
      <c r="R38" s="68"/>
      <c r="S38" s="68"/>
      <c r="T38" s="68"/>
    </row>
    <row r="39" spans="1:20" ht="15" customHeight="1">
      <c r="A39" s="83"/>
      <c r="B39" s="83"/>
      <c r="C39" s="83"/>
      <c r="G39" s="83"/>
      <c r="H39" s="83"/>
      <c r="I39" s="83"/>
      <c r="J39" s="83"/>
      <c r="K39" s="83"/>
    </row>
    <row r="40" spans="1:20" ht="15" customHeight="1">
      <c r="A40" s="83"/>
      <c r="B40" s="83"/>
      <c r="C40" s="83"/>
      <c r="G40" s="83"/>
      <c r="H40" s="83"/>
      <c r="I40" s="83"/>
      <c r="J40" s="83"/>
      <c r="K40" s="83"/>
    </row>
    <row r="41" spans="1:20" ht="15" customHeight="1">
      <c r="A41" s="83"/>
      <c r="B41" s="83"/>
      <c r="C41" s="83">
        <f>D3</f>
        <v>2025</v>
      </c>
      <c r="D41" s="83">
        <f>I3</f>
        <v>2024</v>
      </c>
      <c r="H41" s="83"/>
      <c r="I41" s="83">
        <f>D3</f>
        <v>2025</v>
      </c>
      <c r="J41" s="83">
        <f>I3</f>
        <v>2024</v>
      </c>
      <c r="K41" s="83"/>
    </row>
    <row r="42" spans="1:20" ht="15" customHeight="1">
      <c r="A42" s="83"/>
      <c r="B42" s="83" t="str">
        <f>A7</f>
        <v>Říjen</v>
      </c>
      <c r="C42" s="69">
        <f>E13</f>
        <v>2480.5563000000002</v>
      </c>
      <c r="D42" s="69">
        <f>I13</f>
        <v>28854.027330000001</v>
      </c>
      <c r="H42" s="83" t="str">
        <f>A7</f>
        <v>Říjen</v>
      </c>
      <c r="I42" s="84">
        <f>E13/E34</f>
        <v>5.8261602916135392E-2</v>
      </c>
      <c r="J42" s="84">
        <f>I13/I34</f>
        <v>0.22066332943815714</v>
      </c>
      <c r="K42" s="83"/>
    </row>
    <row r="43" spans="1:20" ht="15" customHeight="1">
      <c r="A43" s="83"/>
      <c r="B43" s="83" t="str">
        <f>A14</f>
        <v>Listopad</v>
      </c>
      <c r="C43" s="69">
        <f>E20</f>
        <v>2655.0845809999978</v>
      </c>
      <c r="D43" s="69">
        <f>I20</f>
        <v>61344.728009999992</v>
      </c>
      <c r="H43" s="83" t="str">
        <f>A14</f>
        <v>Listopad</v>
      </c>
      <c r="I43" s="84">
        <f>E20/E34</f>
        <v>6.2360803327453432E-2</v>
      </c>
      <c r="J43" s="84">
        <f>I20/I34</f>
        <v>0.46913838998449348</v>
      </c>
      <c r="K43" s="83"/>
    </row>
    <row r="44" spans="1:20" ht="15" customHeight="1">
      <c r="A44" s="83"/>
      <c r="B44" s="83" t="str">
        <f>A21</f>
        <v>Prosinec</v>
      </c>
      <c r="C44" s="69">
        <f>E27</f>
        <v>37440.535808999994</v>
      </c>
      <c r="D44" s="69">
        <f>I27</f>
        <v>40561.654210000001</v>
      </c>
      <c r="H44" s="83" t="str">
        <f>A21</f>
        <v>Prosinec</v>
      </c>
      <c r="I44" s="84">
        <f>E27/E34</f>
        <v>0.87937759375641078</v>
      </c>
      <c r="J44" s="84">
        <f>I27/I34</f>
        <v>0.31019828057734922</v>
      </c>
      <c r="K44" s="83"/>
    </row>
    <row r="45" spans="1:20" ht="15" customHeight="1">
      <c r="A45" s="83"/>
      <c r="B45" s="83"/>
      <c r="C45" s="69">
        <f>SUM(C42:C44)</f>
        <v>42576.176689999993</v>
      </c>
      <c r="D45" s="69">
        <f>SUM(D42:D44)</f>
        <v>130760.40954999998</v>
      </c>
      <c r="E45" s="83"/>
      <c r="F45" s="83"/>
      <c r="G45" s="83"/>
      <c r="H45" s="83"/>
      <c r="I45" s="85">
        <f>SUM(I42:I44)</f>
        <v>0.99999999999999956</v>
      </c>
      <c r="J45" s="85">
        <f>SUM(J42:J44)</f>
        <v>0.99999999999999989</v>
      </c>
      <c r="K45" s="83"/>
    </row>
    <row r="46" spans="1:20" ht="15" customHeight="1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</row>
    <row r="47" spans="1:20" ht="15" customHeight="1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</row>
    <row r="48" spans="1:20" ht="15" customHeight="1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</row>
    <row r="49" spans="1:11" ht="15" customHeight="1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</row>
    <row r="50" spans="1:11" ht="15" customHeight="1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</row>
    <row r="51" spans="1:11" ht="15" customHeight="1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</row>
    <row r="52" spans="1:11" ht="15" customHeight="1">
      <c r="A52" s="470" t="s">
        <v>197</v>
      </c>
      <c r="B52" s="470"/>
      <c r="C52" s="470"/>
      <c r="D52" s="470"/>
      <c r="E52" s="470"/>
      <c r="F52" s="470"/>
      <c r="G52" s="470"/>
      <c r="H52" s="470"/>
      <c r="I52" s="470"/>
      <c r="J52" s="470"/>
      <c r="K52" s="470"/>
    </row>
    <row r="53" spans="1:11" ht="15" customHeight="1">
      <c r="A53" s="470"/>
      <c r="B53" s="470"/>
      <c r="C53" s="470"/>
      <c r="D53" s="470"/>
      <c r="E53" s="470"/>
      <c r="F53" s="470"/>
      <c r="G53" s="470"/>
      <c r="H53" s="470"/>
      <c r="I53" s="470"/>
      <c r="J53" s="470"/>
      <c r="K53" s="470"/>
    </row>
    <row r="54" spans="1:11" ht="15" customHeight="1">
      <c r="A54" s="470"/>
      <c r="B54" s="470"/>
      <c r="C54" s="470"/>
      <c r="D54" s="470"/>
      <c r="E54" s="470"/>
      <c r="F54" s="470"/>
      <c r="G54" s="470"/>
      <c r="H54" s="470"/>
      <c r="I54" s="470"/>
      <c r="J54" s="470"/>
      <c r="K54" s="470"/>
    </row>
    <row r="55" spans="1:11" ht="15" customHeight="1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</row>
    <row r="56" spans="1:11" ht="15" customHeight="1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</row>
    <row r="57" spans="1:11" ht="15" customHeight="1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</row>
    <row r="58" spans="1:11" ht="15" customHeight="1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</row>
    <row r="59" spans="1:11" ht="15" customHeight="1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</row>
    <row r="60" spans="1:11" ht="15" customHeight="1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</row>
    <row r="61" spans="1:11" ht="15" customHeight="1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</row>
    <row r="62" spans="1:11" ht="15" customHeight="1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1" ht="15" customHeight="1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1" ht="15" customHeight="1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/>
    <row r="75" spans="1:11" ht="15" customHeight="1"/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</sheetData>
  <mergeCells count="22">
    <mergeCell ref="E3:G4"/>
    <mergeCell ref="A37:E37"/>
    <mergeCell ref="G37:K37"/>
    <mergeCell ref="A1:K1"/>
    <mergeCell ref="A2:C2"/>
    <mergeCell ref="I3:K4"/>
    <mergeCell ref="A3:C4"/>
    <mergeCell ref="D5:D6"/>
    <mergeCell ref="C5:C6"/>
    <mergeCell ref="A5:B6"/>
    <mergeCell ref="G5:G6"/>
    <mergeCell ref="H5:H6"/>
    <mergeCell ref="K5:K6"/>
    <mergeCell ref="E5:F5"/>
    <mergeCell ref="I5:J5"/>
    <mergeCell ref="A52:K54"/>
    <mergeCell ref="A7:B13"/>
    <mergeCell ref="A14:B20"/>
    <mergeCell ref="A21:B27"/>
    <mergeCell ref="A28:B34"/>
    <mergeCell ref="A36:E36"/>
    <mergeCell ref="G35:K3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24 H10" evalError="1"/>
    <ignoredError sqref="H34" formula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8"/>
  <dimension ref="A1:K57"/>
  <sheetViews>
    <sheetView showGridLines="0" topLeftCell="A19" zoomScaleNormal="100" zoomScaleSheetLayoutView="100" workbookViewId="0">
      <selection activeCell="G1" sqref="G1"/>
    </sheetView>
  </sheetViews>
  <sheetFormatPr defaultColWidth="9.1796875" defaultRowHeight="12.5"/>
  <cols>
    <col min="1" max="1" width="20.7265625" style="67" customWidth="1"/>
    <col min="2" max="3" width="8.7265625" style="67" customWidth="1"/>
    <col min="4" max="4" width="9.7265625" style="67" customWidth="1"/>
    <col min="5" max="9" width="6.7265625" style="67" customWidth="1"/>
    <col min="10" max="10" width="7.7265625" style="67" customWidth="1"/>
    <col min="11" max="11" width="8.7265625" style="67" customWidth="1"/>
    <col min="12" max="13" width="9.1796875" style="67"/>
    <col min="14" max="14" width="11.1796875" style="67" customWidth="1"/>
    <col min="15" max="16384" width="9.1796875" style="67"/>
  </cols>
  <sheetData>
    <row r="1" spans="1:11" ht="18">
      <c r="A1" s="471" t="str">
        <f>"5.6 Spotřeba zemního plynu a teplota ovzduší: "&amp;LOWER(A3)</f>
        <v>5.6 Spotřeba zemního plynu a teplota ovzduší: říjen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</row>
    <row r="2" spans="1:11" ht="6" customHeight="1">
      <c r="A2" s="475"/>
      <c r="B2" s="475"/>
      <c r="C2" s="275"/>
      <c r="D2" s="276"/>
      <c r="E2" s="277"/>
      <c r="F2" s="277"/>
      <c r="G2" s="277"/>
      <c r="H2" s="277"/>
    </row>
    <row r="3" spans="1:11" ht="18.75" customHeight="1">
      <c r="A3" s="478" t="str">
        <f>'3.1'!D5</f>
        <v>Říjen</v>
      </c>
      <c r="B3" s="478"/>
      <c r="C3" s="478"/>
      <c r="D3" s="478"/>
      <c r="E3" s="478"/>
      <c r="F3" s="478"/>
      <c r="G3" s="478"/>
      <c r="H3" s="478"/>
      <c r="I3" s="478"/>
      <c r="J3" s="478"/>
      <c r="K3" s="478"/>
    </row>
    <row r="4" spans="1:11" ht="25" customHeight="1">
      <c r="A4" s="112"/>
      <c r="B4" s="233">
        <f>'3.1'!A4</f>
        <v>2025</v>
      </c>
      <c r="C4" s="472" t="s">
        <v>59</v>
      </c>
      <c r="D4" s="473"/>
      <c r="E4" s="473"/>
      <c r="F4" s="474"/>
      <c r="G4" s="472" t="s">
        <v>182</v>
      </c>
      <c r="H4" s="473"/>
      <c r="I4" s="473"/>
      <c r="J4" s="473"/>
      <c r="K4" s="473"/>
    </row>
    <row r="5" spans="1:11">
      <c r="A5" s="253"/>
      <c r="B5" s="456" t="s">
        <v>181</v>
      </c>
      <c r="C5" s="320"/>
      <c r="D5" s="321"/>
      <c r="E5" s="456" t="s">
        <v>265</v>
      </c>
      <c r="F5" s="476" t="s">
        <v>268</v>
      </c>
      <c r="G5" s="322" t="s">
        <v>61</v>
      </c>
      <c r="H5" s="323" t="s">
        <v>170</v>
      </c>
      <c r="I5" s="323" t="s">
        <v>171</v>
      </c>
      <c r="J5" s="323" t="s">
        <v>266</v>
      </c>
      <c r="K5" s="323" t="s">
        <v>267</v>
      </c>
    </row>
    <row r="6" spans="1:11" ht="25" customHeight="1">
      <c r="A6" s="324" t="s">
        <v>269</v>
      </c>
      <c r="B6" s="442"/>
      <c r="C6" s="203" t="s">
        <v>247</v>
      </c>
      <c r="D6" s="201" t="s">
        <v>248</v>
      </c>
      <c r="E6" s="442"/>
      <c r="F6" s="477"/>
      <c r="G6" s="325" t="s">
        <v>218</v>
      </c>
      <c r="H6" s="326" t="s">
        <v>218</v>
      </c>
      <c r="I6" s="326" t="s">
        <v>218</v>
      </c>
      <c r="J6" s="326" t="s">
        <v>218</v>
      </c>
      <c r="K6" s="326" t="s">
        <v>218</v>
      </c>
    </row>
    <row r="7" spans="1:11" ht="16" customHeight="1">
      <c r="A7" s="137" t="s">
        <v>307</v>
      </c>
      <c r="B7" s="113">
        <f>'5.2'!D13</f>
        <v>394059</v>
      </c>
      <c r="C7" s="288">
        <f>'5.2'!E13</f>
        <v>61319.272530718001</v>
      </c>
      <c r="D7" s="113">
        <f>'5.2'!F13</f>
        <v>678915.37260015297</v>
      </c>
      <c r="E7" s="282">
        <f>C7/$C$11</f>
        <v>0.10127219458772005</v>
      </c>
      <c r="F7" s="307">
        <f>'5.2'!H13</f>
        <v>0.1481916335816825</v>
      </c>
      <c r="G7" s="305">
        <v>9.6935483870967722</v>
      </c>
      <c r="H7" s="299">
        <v>13.5</v>
      </c>
      <c r="I7" s="299">
        <v>5.2</v>
      </c>
      <c r="J7" s="299">
        <v>9.9193548387096779</v>
      </c>
      <c r="K7" s="299">
        <v>-0.22580645161290569</v>
      </c>
    </row>
    <row r="8" spans="1:11" ht="16" customHeight="1">
      <c r="A8" s="137" t="s">
        <v>84</v>
      </c>
      <c r="B8" s="113">
        <f>'5.3'!D13</f>
        <v>2190353</v>
      </c>
      <c r="C8" s="288">
        <f>'5.3'!E13</f>
        <v>516789.69405630196</v>
      </c>
      <c r="D8" s="113">
        <f>'5.3'!F13</f>
        <v>5709940.3448299989</v>
      </c>
      <c r="E8" s="282">
        <f t="shared" ref="E8:E10" si="0">C8/$C$11</f>
        <v>0.8535069693003956</v>
      </c>
      <c r="F8" s="307">
        <f>'5.3'!H13</f>
        <v>0.14551879098348786</v>
      </c>
      <c r="G8" s="305">
        <v>8.1569892473118273</v>
      </c>
      <c r="H8" s="300">
        <v>11.733333333333334</v>
      </c>
      <c r="I8" s="300">
        <v>3.6999999999999997</v>
      </c>
      <c r="J8" s="300">
        <v>8.6956989247311842</v>
      </c>
      <c r="K8" s="299">
        <v>-0.53870967741935694</v>
      </c>
    </row>
    <row r="9" spans="1:11" ht="16" customHeight="1">
      <c r="A9" s="137" t="s">
        <v>314</v>
      </c>
      <c r="B9" s="113">
        <f>'5.4'!D13</f>
        <v>110918</v>
      </c>
      <c r="C9" s="288">
        <f>'5.4'!E13</f>
        <v>24900.195000000003</v>
      </c>
      <c r="D9" s="113">
        <f>'5.4'!F13</f>
        <v>276110.35694299999</v>
      </c>
      <c r="E9" s="282">
        <f t="shared" si="0"/>
        <v>4.1124059194422524E-2</v>
      </c>
      <c r="F9" s="307">
        <f>'5.4'!H13</f>
        <v>0.14313881976294349</v>
      </c>
      <c r="G9" s="305">
        <v>7.6967741935483867</v>
      </c>
      <c r="H9" s="300">
        <v>11.5</v>
      </c>
      <c r="I9" s="300">
        <v>3.2</v>
      </c>
      <c r="J9" s="300">
        <v>8.287096774193552</v>
      </c>
      <c r="K9" s="299">
        <v>-0.5903225806451653</v>
      </c>
    </row>
    <row r="10" spans="1:11" ht="16" customHeight="1">
      <c r="A10" s="137" t="s">
        <v>31</v>
      </c>
      <c r="B10" s="113">
        <f>'5.5'!D13</f>
        <v>9493</v>
      </c>
      <c r="C10" s="288">
        <f>'5.5'!E13</f>
        <v>2480.5563000000002</v>
      </c>
      <c r="D10" s="113">
        <f>'5.5'!F13</f>
        <v>27021.907901999984</v>
      </c>
      <c r="E10" s="282">
        <f t="shared" si="0"/>
        <v>4.0967769174617991E-3</v>
      </c>
      <c r="F10" s="307">
        <f>'5.5'!H13</f>
        <v>-0.91403084666032308</v>
      </c>
      <c r="G10" s="305">
        <v>8.1129032258064484</v>
      </c>
      <c r="H10" s="300">
        <v>11.7</v>
      </c>
      <c r="I10" s="300">
        <v>3.7</v>
      </c>
      <c r="J10" s="300">
        <v>8.6774193548387117</v>
      </c>
      <c r="K10" s="299">
        <v>-0.56451612903226334</v>
      </c>
    </row>
    <row r="11" spans="1:11" ht="16" customHeight="1">
      <c r="A11" s="142" t="s">
        <v>3</v>
      </c>
      <c r="B11" s="285">
        <f>SUM(B7:B10)</f>
        <v>2704823</v>
      </c>
      <c r="C11" s="289">
        <f>SUM(C7:C10)</f>
        <v>605489.71788701997</v>
      </c>
      <c r="D11" s="285">
        <f t="shared" ref="D11:E11" si="1">SUM(D7:D10)</f>
        <v>6691987.9822751516</v>
      </c>
      <c r="E11" s="286">
        <f t="shared" si="1"/>
        <v>1</v>
      </c>
      <c r="F11" s="308">
        <f>'5.1'!H14</f>
        <v>9.0615376302777995E-2</v>
      </c>
      <c r="G11" s="306">
        <v>8.1129032258064484</v>
      </c>
      <c r="H11" s="304">
        <v>11.7</v>
      </c>
      <c r="I11" s="304">
        <v>3.7</v>
      </c>
      <c r="J11" s="304">
        <v>8.6774193548387117</v>
      </c>
      <c r="K11" s="303">
        <v>-0.56451612903226334</v>
      </c>
    </row>
    <row r="12" spans="1:11" ht="15" customHeight="1">
      <c r="A12" s="90"/>
      <c r="B12" s="83"/>
      <c r="C12" s="479" t="s">
        <v>227</v>
      </c>
      <c r="D12" s="479"/>
      <c r="E12" s="479"/>
      <c r="F12" s="479"/>
      <c r="G12" s="482" t="s">
        <v>228</v>
      </c>
      <c r="H12" s="482"/>
      <c r="I12" s="482"/>
      <c r="J12" s="482"/>
      <c r="K12" s="482"/>
    </row>
    <row r="13" spans="1:11" ht="15" customHeight="1">
      <c r="A13" s="83"/>
      <c r="B13" s="83"/>
      <c r="C13" s="479"/>
      <c r="D13" s="479"/>
      <c r="E13" s="479"/>
      <c r="F13" s="479"/>
      <c r="G13" s="482" t="s">
        <v>229</v>
      </c>
      <c r="H13" s="482"/>
      <c r="I13" s="482"/>
      <c r="J13" s="482"/>
      <c r="K13" s="482"/>
    </row>
    <row r="14" spans="1:11" ht="15" customHeight="1">
      <c r="A14" s="83"/>
      <c r="B14" s="83"/>
      <c r="C14" s="87"/>
      <c r="D14" s="87"/>
      <c r="E14" s="87"/>
      <c r="F14" s="87"/>
      <c r="G14" s="77"/>
      <c r="H14" s="77"/>
      <c r="I14" s="77"/>
      <c r="J14" s="77"/>
      <c r="K14" s="77"/>
    </row>
    <row r="15" spans="1:11" ht="15" customHeight="1">
      <c r="A15" s="83"/>
      <c r="B15" s="83"/>
      <c r="C15" s="83"/>
      <c r="D15" s="88"/>
      <c r="E15" s="89"/>
      <c r="F15" s="89"/>
      <c r="G15" s="83"/>
      <c r="H15" s="90"/>
      <c r="I15" s="77"/>
      <c r="J15" s="83"/>
      <c r="K15" s="83"/>
    </row>
    <row r="16" spans="1:11" ht="18" customHeight="1">
      <c r="A16" s="483" t="s">
        <v>259</v>
      </c>
      <c r="B16" s="483"/>
      <c r="C16" s="483"/>
      <c r="D16" s="483"/>
      <c r="E16" s="483"/>
      <c r="F16" s="483" t="s">
        <v>260</v>
      </c>
      <c r="G16" s="483"/>
      <c r="H16" s="483"/>
      <c r="I16" s="483"/>
      <c r="J16" s="483"/>
      <c r="K16" s="483"/>
    </row>
    <row r="17" spans="1:11" ht="15" customHeight="1">
      <c r="A17" s="483"/>
      <c r="B17" s="483"/>
      <c r="C17" s="483"/>
      <c r="D17" s="483"/>
      <c r="E17" s="483"/>
      <c r="F17" s="483"/>
      <c r="G17" s="483"/>
      <c r="H17" s="483"/>
      <c r="I17" s="483"/>
      <c r="J17" s="483"/>
      <c r="K17" s="483"/>
    </row>
    <row r="18" spans="1:11" ht="15" customHeight="1">
      <c r="A18" s="108"/>
      <c r="B18" s="480"/>
      <c r="C18" s="480"/>
      <c r="D18" s="108"/>
      <c r="E18" s="108"/>
      <c r="F18" s="108"/>
      <c r="G18" s="108"/>
      <c r="H18" s="480"/>
      <c r="I18" s="480"/>
      <c r="J18" s="108"/>
      <c r="K18" s="108"/>
    </row>
    <row r="19" spans="1:11" ht="15" customHeight="1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</row>
    <row r="20" spans="1:11" ht="15" customHeight="1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</row>
    <row r="21" spans="1:11" ht="15" customHeight="1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</row>
    <row r="22" spans="1:11" ht="15" customHeight="1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</row>
    <row r="23" spans="1:11" ht="15" customHeight="1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</row>
    <row r="24" spans="1:11" ht="15" customHeight="1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</row>
    <row r="25" spans="1:11" ht="15" customHeight="1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</row>
    <row r="26" spans="1:11" ht="15" customHeight="1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7" spans="1:11" ht="15" customHeight="1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3"/>
    </row>
    <row r="28" spans="1:11" ht="15" customHeight="1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</row>
    <row r="29" spans="1:11" ht="15" customHeight="1">
      <c r="A29" s="83"/>
      <c r="B29" s="83"/>
      <c r="C29" s="83"/>
      <c r="D29" s="83"/>
      <c r="E29" s="83"/>
      <c r="F29" s="83"/>
      <c r="G29" s="83"/>
      <c r="H29" s="83"/>
      <c r="I29" s="83"/>
      <c r="J29" s="83"/>
      <c r="K29" s="83"/>
    </row>
    <row r="30" spans="1:11" ht="15" customHeight="1"/>
    <row r="31" spans="1:11" ht="15" customHeight="1"/>
    <row r="32" spans="1:11" ht="15" customHeight="1"/>
    <row r="33" spans="1:11" ht="15" customHeight="1">
      <c r="A33" s="483" t="s">
        <v>261</v>
      </c>
      <c r="B33" s="445"/>
      <c r="C33" s="445"/>
      <c r="D33" s="445"/>
      <c r="E33" s="445"/>
      <c r="F33" s="483" t="s">
        <v>64</v>
      </c>
      <c r="G33" s="483"/>
      <c r="H33" s="483"/>
      <c r="I33" s="483"/>
      <c r="J33" s="483"/>
      <c r="K33" s="483"/>
    </row>
    <row r="34" spans="1:11" ht="15" customHeight="1">
      <c r="A34" s="445"/>
      <c r="B34" s="445"/>
      <c r="C34" s="445"/>
      <c r="D34" s="445"/>
      <c r="E34" s="445"/>
      <c r="F34" s="483"/>
      <c r="G34" s="483"/>
      <c r="H34" s="483"/>
      <c r="I34" s="483"/>
      <c r="J34" s="483"/>
      <c r="K34" s="483"/>
    </row>
    <row r="35" spans="1:11" ht="15" customHeight="1">
      <c r="A35" s="108"/>
      <c r="B35" s="480"/>
      <c r="C35" s="480"/>
      <c r="D35" s="108"/>
      <c r="E35" s="106"/>
      <c r="F35" s="111"/>
      <c r="G35" s="111"/>
      <c r="H35" s="481"/>
      <c r="I35" s="481"/>
      <c r="J35" s="111"/>
      <c r="K35" s="111"/>
    </row>
    <row r="36" spans="1:11" ht="15" customHeight="1">
      <c r="A36" s="108"/>
      <c r="B36" s="108"/>
      <c r="C36" s="108"/>
      <c r="D36" s="108"/>
      <c r="E36" s="107"/>
      <c r="F36" s="107"/>
      <c r="G36" s="107"/>
      <c r="J36" s="107"/>
      <c r="K36" s="107"/>
    </row>
    <row r="37" spans="1:11" ht="15" customHeight="1"/>
    <row r="38" spans="1:11" ht="15" customHeight="1"/>
    <row r="39" spans="1:11" ht="15" customHeight="1"/>
    <row r="40" spans="1:11" ht="15" customHeight="1"/>
    <row r="41" spans="1:11" ht="15" customHeight="1"/>
    <row r="42" spans="1:11" ht="15" customHeight="1"/>
    <row r="43" spans="1:11" ht="15" customHeight="1"/>
    <row r="44" spans="1:11" ht="15" customHeight="1"/>
    <row r="45" spans="1:11" ht="15" customHeight="1"/>
    <row r="46" spans="1:11" ht="15" customHeight="1"/>
    <row r="47" spans="1:11" ht="15" customHeight="1"/>
    <row r="48" spans="1:11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mergeCells count="19">
    <mergeCell ref="C12:F13"/>
    <mergeCell ref="B18:C18"/>
    <mergeCell ref="H18:I18"/>
    <mergeCell ref="H35:I35"/>
    <mergeCell ref="B35:C35"/>
    <mergeCell ref="G12:K12"/>
    <mergeCell ref="G13:K13"/>
    <mergeCell ref="F16:K17"/>
    <mergeCell ref="A16:E17"/>
    <mergeCell ref="A33:E34"/>
    <mergeCell ref="F33:K34"/>
    <mergeCell ref="A1:K1"/>
    <mergeCell ref="G4:K4"/>
    <mergeCell ref="B5:B6"/>
    <mergeCell ref="C4:F4"/>
    <mergeCell ref="A2:B2"/>
    <mergeCell ref="E5:E6"/>
    <mergeCell ref="F5:F6"/>
    <mergeCell ref="A3:K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9"/>
  <dimension ref="A1:K57"/>
  <sheetViews>
    <sheetView showGridLines="0" zoomScaleNormal="100" zoomScaleSheetLayoutView="100" workbookViewId="0">
      <selection activeCell="G1" sqref="G1"/>
    </sheetView>
  </sheetViews>
  <sheetFormatPr defaultColWidth="9.1796875" defaultRowHeight="12.5"/>
  <cols>
    <col min="1" max="1" width="20.7265625" style="67" customWidth="1"/>
    <col min="2" max="3" width="8.7265625" style="67" customWidth="1"/>
    <col min="4" max="4" width="9.7265625" style="67" customWidth="1"/>
    <col min="5" max="9" width="6.7265625" style="67" customWidth="1"/>
    <col min="10" max="10" width="7.7265625" style="67" customWidth="1"/>
    <col min="11" max="11" width="8.7265625" style="67" customWidth="1"/>
    <col min="12" max="13" width="9.1796875" style="67"/>
    <col min="14" max="14" width="11.1796875" style="67" customWidth="1"/>
    <col min="15" max="16384" width="9.1796875" style="67"/>
  </cols>
  <sheetData>
    <row r="1" spans="1:11" ht="18">
      <c r="A1" s="471" t="str">
        <f>"5.7 Spotřeba zemního plynu a teplota ovzduší: "&amp;LOWER(A3)</f>
        <v>5.7 Spotřeba zemního plynu a teplota ovzduší: listopad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</row>
    <row r="2" spans="1:11" ht="6" customHeight="1">
      <c r="A2" s="475"/>
      <c r="B2" s="475"/>
      <c r="C2" s="275"/>
      <c r="D2" s="276"/>
      <c r="E2" s="277"/>
      <c r="F2" s="277"/>
      <c r="G2" s="277"/>
      <c r="H2" s="277"/>
    </row>
    <row r="3" spans="1:11" ht="18.75" customHeight="1">
      <c r="A3" s="478" t="str">
        <f>'3.1'!E5</f>
        <v>Listopad</v>
      </c>
      <c r="B3" s="478"/>
      <c r="C3" s="478"/>
      <c r="D3" s="478"/>
      <c r="E3" s="478"/>
      <c r="F3" s="478"/>
      <c r="G3" s="478"/>
      <c r="H3" s="478"/>
      <c r="I3" s="478"/>
      <c r="J3" s="478"/>
      <c r="K3" s="478"/>
    </row>
    <row r="4" spans="1:11" ht="25" customHeight="1">
      <c r="A4" s="112"/>
      <c r="B4" s="233">
        <f>'3.1'!A4</f>
        <v>2025</v>
      </c>
      <c r="C4" s="472" t="s">
        <v>59</v>
      </c>
      <c r="D4" s="473"/>
      <c r="E4" s="473"/>
      <c r="F4" s="474"/>
      <c r="G4" s="472" t="s">
        <v>182</v>
      </c>
      <c r="H4" s="473"/>
      <c r="I4" s="473"/>
      <c r="J4" s="473"/>
      <c r="K4" s="473"/>
    </row>
    <row r="5" spans="1:11">
      <c r="A5" s="253"/>
      <c r="B5" s="456" t="s">
        <v>181</v>
      </c>
      <c r="C5" s="320"/>
      <c r="D5" s="321"/>
      <c r="E5" s="456" t="s">
        <v>265</v>
      </c>
      <c r="F5" s="476" t="s">
        <v>268</v>
      </c>
      <c r="G5" s="322" t="s">
        <v>61</v>
      </c>
      <c r="H5" s="323" t="s">
        <v>170</v>
      </c>
      <c r="I5" s="323" t="s">
        <v>171</v>
      </c>
      <c r="J5" s="323" t="s">
        <v>266</v>
      </c>
      <c r="K5" s="323" t="s">
        <v>267</v>
      </c>
    </row>
    <row r="6" spans="1:11" ht="25" customHeight="1">
      <c r="A6" s="324" t="s">
        <v>269</v>
      </c>
      <c r="B6" s="442"/>
      <c r="C6" s="203" t="s">
        <v>247</v>
      </c>
      <c r="D6" s="201" t="s">
        <v>248</v>
      </c>
      <c r="E6" s="442"/>
      <c r="F6" s="477"/>
      <c r="G6" s="325" t="s">
        <v>218</v>
      </c>
      <c r="H6" s="326" t="s">
        <v>218</v>
      </c>
      <c r="I6" s="326" t="s">
        <v>218</v>
      </c>
      <c r="J6" s="326" t="s">
        <v>218</v>
      </c>
      <c r="K6" s="326" t="s">
        <v>218</v>
      </c>
    </row>
    <row r="7" spans="1:11" ht="16" customHeight="1">
      <c r="A7" s="137" t="s">
        <v>307</v>
      </c>
      <c r="B7" s="113">
        <f>'5.2'!D20</f>
        <v>394192</v>
      </c>
      <c r="C7" s="288">
        <f>'5.2'!E20</f>
        <v>94457.477201782996</v>
      </c>
      <c r="D7" s="113">
        <f>'5.2'!F20</f>
        <v>1041252.0645150681</v>
      </c>
      <c r="E7" s="282">
        <f>C7/$C$11</f>
        <v>0.11718262275978424</v>
      </c>
      <c r="F7" s="307">
        <f>'5.2'!H20</f>
        <v>-1.2586303111912597E-2</v>
      </c>
      <c r="G7" s="305">
        <v>3.7566666666666668</v>
      </c>
      <c r="H7" s="299">
        <v>9.8000000000000007</v>
      </c>
      <c r="I7" s="299">
        <v>-5</v>
      </c>
      <c r="J7" s="299">
        <v>5.0066666666666659</v>
      </c>
      <c r="K7" s="299">
        <v>-1.2499999999999991</v>
      </c>
    </row>
    <row r="8" spans="1:11" ht="16" customHeight="1">
      <c r="A8" s="137" t="s">
        <v>84</v>
      </c>
      <c r="B8" s="113">
        <f>'5.3'!D20</f>
        <v>2189371</v>
      </c>
      <c r="C8" s="288">
        <f>'5.3'!E20</f>
        <v>675494.74195459008</v>
      </c>
      <c r="D8" s="113">
        <f>'5.3'!F20</f>
        <v>7436145.2989100004</v>
      </c>
      <c r="E8" s="282">
        <f t="shared" ref="E8:E10" si="0">C8/$C$11</f>
        <v>0.83800931241881993</v>
      </c>
      <c r="F8" s="307">
        <f>'5.3'!H20</f>
        <v>-6.0053594117880085E-5</v>
      </c>
      <c r="G8" s="305">
        <v>2.8972222222222217</v>
      </c>
      <c r="H8" s="300">
        <v>9.7833333333333332</v>
      </c>
      <c r="I8" s="300">
        <v>-5.6166666666666663</v>
      </c>
      <c r="J8" s="300">
        <v>3.9516666666666653</v>
      </c>
      <c r="K8" s="299">
        <v>-1.0544444444444436</v>
      </c>
    </row>
    <row r="9" spans="1:11" ht="16" customHeight="1">
      <c r="A9" s="137" t="s">
        <v>314</v>
      </c>
      <c r="B9" s="113">
        <f>'5.4'!D20</f>
        <v>110936</v>
      </c>
      <c r="C9" s="288">
        <f>'5.4'!E20</f>
        <v>33463.383000999987</v>
      </c>
      <c r="D9" s="113">
        <f>'5.4'!F20</f>
        <v>368836.12430000008</v>
      </c>
      <c r="E9" s="282">
        <f t="shared" si="0"/>
        <v>4.1514204090963576E-2</v>
      </c>
      <c r="F9" s="307">
        <f>'5.4'!H20</f>
        <v>1.6020593864299548E-2</v>
      </c>
      <c r="G9" s="305">
        <v>2.1400000000000006</v>
      </c>
      <c r="H9" s="300">
        <v>8.6</v>
      </c>
      <c r="I9" s="300">
        <v>-6.3</v>
      </c>
      <c r="J9" s="300">
        <v>3.4366666666666665</v>
      </c>
      <c r="K9" s="299">
        <v>-1.296666666666666</v>
      </c>
    </row>
    <row r="10" spans="1:11" ht="16" customHeight="1">
      <c r="A10" s="137" t="s">
        <v>31</v>
      </c>
      <c r="B10" s="113">
        <f>'5.5'!D20</f>
        <v>9469</v>
      </c>
      <c r="C10" s="288">
        <f>'5.5'!E20</f>
        <v>2655.0845809999978</v>
      </c>
      <c r="D10" s="113">
        <f>'5.5'!F20</f>
        <v>29042.291389999988</v>
      </c>
      <c r="E10" s="282">
        <f t="shared" si="0"/>
        <v>3.293860730432144E-3</v>
      </c>
      <c r="F10" s="307">
        <f>'5.5'!H20</f>
        <v>-0.95671861841873063</v>
      </c>
      <c r="G10" s="305">
        <v>2.8166666666666669</v>
      </c>
      <c r="H10" s="300">
        <v>9.6999999999999993</v>
      </c>
      <c r="I10" s="300">
        <v>-5.6</v>
      </c>
      <c r="J10" s="300">
        <v>3.9166666666666656</v>
      </c>
      <c r="K10" s="299">
        <v>-1.0999999999999988</v>
      </c>
    </row>
    <row r="11" spans="1:11" ht="16" customHeight="1">
      <c r="A11" s="142" t="s">
        <v>3</v>
      </c>
      <c r="B11" s="285">
        <f>SUM(B7:B10)</f>
        <v>2703968</v>
      </c>
      <c r="C11" s="289">
        <f t="shared" ref="C11:E11" si="1">SUM(C7:C10)</f>
        <v>806070.68673837313</v>
      </c>
      <c r="D11" s="285">
        <f t="shared" si="1"/>
        <v>8875275.7791150678</v>
      </c>
      <c r="E11" s="286">
        <f t="shared" si="1"/>
        <v>0.99999999999999989</v>
      </c>
      <c r="F11" s="308">
        <f>'5.1'!H21</f>
        <v>-6.8640261566732863E-2</v>
      </c>
      <c r="G11" s="306">
        <v>2.8166666666666669</v>
      </c>
      <c r="H11" s="304">
        <v>9.6999999999999993</v>
      </c>
      <c r="I11" s="304">
        <v>-5.6</v>
      </c>
      <c r="J11" s="304">
        <v>3.9166666666666656</v>
      </c>
      <c r="K11" s="303">
        <v>-1.0999999999999988</v>
      </c>
    </row>
    <row r="12" spans="1:11" ht="15" customHeight="1">
      <c r="A12" s="90"/>
      <c r="B12" s="83"/>
      <c r="C12" s="479" t="s">
        <v>227</v>
      </c>
      <c r="D12" s="479"/>
      <c r="E12" s="479"/>
      <c r="F12" s="479"/>
      <c r="G12" s="482" t="s">
        <v>228</v>
      </c>
      <c r="H12" s="482"/>
      <c r="I12" s="482"/>
      <c r="J12" s="482"/>
      <c r="K12" s="482"/>
    </row>
    <row r="13" spans="1:11" ht="15" customHeight="1">
      <c r="A13" s="83"/>
      <c r="B13" s="83"/>
      <c r="C13" s="479"/>
      <c r="D13" s="479"/>
      <c r="E13" s="479"/>
      <c r="F13" s="479"/>
      <c r="G13" s="482" t="s">
        <v>229</v>
      </c>
      <c r="H13" s="482"/>
      <c r="I13" s="482"/>
      <c r="J13" s="482"/>
      <c r="K13" s="482"/>
    </row>
    <row r="14" spans="1:11" ht="15" customHeight="1">
      <c r="A14" s="83"/>
      <c r="B14" s="83"/>
      <c r="C14" s="87"/>
      <c r="D14" s="87"/>
      <c r="E14" s="87"/>
      <c r="F14" s="87"/>
      <c r="G14" s="77"/>
      <c r="H14" s="77"/>
      <c r="I14" s="77"/>
      <c r="J14" s="77"/>
      <c r="K14" s="77"/>
    </row>
    <row r="15" spans="1:11" ht="15" customHeight="1">
      <c r="A15" s="83"/>
      <c r="B15" s="83"/>
      <c r="C15" s="83"/>
      <c r="D15" s="88"/>
      <c r="E15" s="89"/>
      <c r="F15" s="89"/>
      <c r="G15" s="83"/>
      <c r="H15" s="90"/>
      <c r="I15" s="77"/>
      <c r="J15" s="83"/>
      <c r="K15" s="83"/>
    </row>
    <row r="16" spans="1:11" ht="18" customHeight="1">
      <c r="A16" s="483" t="s">
        <v>259</v>
      </c>
      <c r="B16" s="483"/>
      <c r="C16" s="483"/>
      <c r="D16" s="483"/>
      <c r="E16" s="483"/>
      <c r="F16" s="483" t="s">
        <v>260</v>
      </c>
      <c r="G16" s="483"/>
      <c r="H16" s="483"/>
      <c r="I16" s="483"/>
      <c r="J16" s="483"/>
      <c r="K16" s="483"/>
    </row>
    <row r="17" spans="1:11" ht="15" customHeight="1">
      <c r="A17" s="483"/>
      <c r="B17" s="483"/>
      <c r="C17" s="483"/>
      <c r="D17" s="483"/>
      <c r="E17" s="483"/>
      <c r="F17" s="483"/>
      <c r="G17" s="483"/>
      <c r="H17" s="483"/>
      <c r="I17" s="483"/>
      <c r="J17" s="483"/>
      <c r="K17" s="483"/>
    </row>
    <row r="18" spans="1:11" ht="15" customHeight="1">
      <c r="A18" s="105"/>
      <c r="B18" s="480"/>
      <c r="C18" s="480"/>
      <c r="D18" s="105"/>
      <c r="E18" s="105"/>
      <c r="F18" s="105"/>
      <c r="G18" s="105"/>
      <c r="H18" s="480"/>
      <c r="I18" s="480"/>
      <c r="J18" s="105"/>
      <c r="K18" s="105"/>
    </row>
    <row r="19" spans="1:11" ht="15" customHeight="1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</row>
    <row r="20" spans="1:11" ht="15" customHeight="1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</row>
    <row r="21" spans="1:11" ht="15" customHeight="1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</row>
    <row r="22" spans="1:11" ht="15" customHeight="1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</row>
    <row r="23" spans="1:11" ht="15" customHeight="1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</row>
    <row r="24" spans="1:11" ht="15" customHeight="1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</row>
    <row r="25" spans="1:11" ht="15" customHeight="1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</row>
    <row r="26" spans="1:11" ht="15" customHeight="1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7" spans="1:11" ht="15" customHeight="1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3"/>
    </row>
    <row r="28" spans="1:11" ht="15" customHeight="1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</row>
    <row r="29" spans="1:11" ht="15" customHeight="1">
      <c r="A29" s="83"/>
      <c r="B29" s="83"/>
      <c r="C29" s="83"/>
      <c r="D29" s="83"/>
      <c r="E29" s="83"/>
      <c r="F29" s="83"/>
      <c r="G29" s="83"/>
      <c r="H29" s="83"/>
      <c r="I29" s="83"/>
      <c r="J29" s="83"/>
      <c r="K29" s="83"/>
    </row>
    <row r="30" spans="1:11" ht="15" customHeight="1"/>
    <row r="31" spans="1:11" ht="15" customHeight="1"/>
    <row r="32" spans="1:11" ht="15" customHeight="1"/>
    <row r="33" spans="1:11" ht="15" customHeight="1">
      <c r="A33" s="483" t="s">
        <v>261</v>
      </c>
      <c r="B33" s="445"/>
      <c r="C33" s="445"/>
      <c r="D33" s="445"/>
      <c r="E33" s="445"/>
      <c r="F33" s="483" t="s">
        <v>64</v>
      </c>
      <c r="G33" s="483"/>
      <c r="H33" s="483"/>
      <c r="I33" s="483"/>
      <c r="J33" s="483"/>
      <c r="K33" s="483"/>
    </row>
    <row r="34" spans="1:11" ht="15" customHeight="1">
      <c r="A34" s="445"/>
      <c r="B34" s="445"/>
      <c r="C34" s="445"/>
      <c r="D34" s="445"/>
      <c r="E34" s="445"/>
      <c r="F34" s="483"/>
      <c r="G34" s="483"/>
      <c r="H34" s="483"/>
      <c r="I34" s="483"/>
      <c r="J34" s="483"/>
      <c r="K34" s="483"/>
    </row>
    <row r="35" spans="1:11" ht="15" customHeight="1">
      <c r="A35" s="105"/>
      <c r="B35" s="480"/>
      <c r="C35" s="480"/>
      <c r="D35" s="105"/>
      <c r="E35" s="106"/>
      <c r="F35" s="111"/>
      <c r="G35" s="111"/>
      <c r="H35" s="481"/>
      <c r="I35" s="481"/>
      <c r="J35" s="111"/>
      <c r="K35" s="111"/>
    </row>
    <row r="36" spans="1:11" ht="15" customHeight="1">
      <c r="A36" s="105"/>
      <c r="B36" s="105"/>
      <c r="C36" s="105"/>
      <c r="D36" s="105"/>
      <c r="E36" s="107"/>
      <c r="F36" s="107"/>
      <c r="G36" s="107"/>
      <c r="J36" s="107"/>
      <c r="K36" s="107"/>
    </row>
    <row r="37" spans="1:11" ht="15" customHeight="1"/>
    <row r="38" spans="1:11" ht="15" customHeight="1"/>
    <row r="39" spans="1:11" ht="15" customHeight="1"/>
    <row r="40" spans="1:11" ht="15" customHeight="1"/>
    <row r="41" spans="1:11" ht="15" customHeight="1"/>
    <row r="42" spans="1:11" ht="15" customHeight="1"/>
    <row r="43" spans="1:11" ht="15" customHeight="1"/>
    <row r="44" spans="1:11" ht="15" customHeight="1"/>
    <row r="45" spans="1:11" ht="15" customHeight="1"/>
    <row r="46" spans="1:11" ht="15" customHeight="1"/>
    <row r="47" spans="1:11" ht="15" customHeight="1"/>
    <row r="48" spans="1:11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mergeCells count="19">
    <mergeCell ref="A1:K1"/>
    <mergeCell ref="G4:K4"/>
    <mergeCell ref="B18:C18"/>
    <mergeCell ref="C4:F4"/>
    <mergeCell ref="A2:B2"/>
    <mergeCell ref="B5:B6"/>
    <mergeCell ref="C12:F13"/>
    <mergeCell ref="G12:K12"/>
    <mergeCell ref="G13:K13"/>
    <mergeCell ref="E5:E6"/>
    <mergeCell ref="F5:F6"/>
    <mergeCell ref="A3:K3"/>
    <mergeCell ref="A16:E17"/>
    <mergeCell ref="F16:K17"/>
    <mergeCell ref="B35:C35"/>
    <mergeCell ref="H35:I35"/>
    <mergeCell ref="H18:I18"/>
    <mergeCell ref="A33:E34"/>
    <mergeCell ref="F33:K3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0"/>
  <dimension ref="A1:K57"/>
  <sheetViews>
    <sheetView showGridLines="0" zoomScaleNormal="100" zoomScaleSheetLayoutView="100" workbookViewId="0">
      <selection activeCell="G1" sqref="G1"/>
    </sheetView>
  </sheetViews>
  <sheetFormatPr defaultColWidth="9.1796875" defaultRowHeight="12.5"/>
  <cols>
    <col min="1" max="1" width="20.7265625" style="67" customWidth="1"/>
    <col min="2" max="3" width="8.7265625" style="67" customWidth="1"/>
    <col min="4" max="4" width="9.7265625" style="67" customWidth="1"/>
    <col min="5" max="9" width="6.7265625" style="67" customWidth="1"/>
    <col min="10" max="10" width="7.7265625" style="67" customWidth="1"/>
    <col min="11" max="11" width="8.7265625" style="67" customWidth="1"/>
    <col min="12" max="13" width="9.1796875" style="67"/>
    <col min="14" max="14" width="11.1796875" style="67" customWidth="1"/>
    <col min="15" max="16384" width="9.1796875" style="67"/>
  </cols>
  <sheetData>
    <row r="1" spans="1:11" ht="18">
      <c r="A1" s="471" t="str">
        <f>"5.8 Spotřeba zemního plynu a teplota ovzduší: "&amp;LOWER(A3)</f>
        <v>5.8 Spotřeba zemního plynu a teplota ovzduší: prosinec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</row>
    <row r="2" spans="1:11" ht="6" customHeight="1">
      <c r="A2" s="475"/>
      <c r="B2" s="475"/>
      <c r="C2" s="275"/>
      <c r="D2" s="276"/>
      <c r="E2" s="277"/>
      <c r="F2" s="277"/>
      <c r="G2" s="277"/>
      <c r="H2" s="277"/>
    </row>
    <row r="3" spans="1:11" ht="18.75" customHeight="1">
      <c r="A3" s="478" t="str">
        <f>'3.1'!F5</f>
        <v>Prosinec</v>
      </c>
      <c r="B3" s="478"/>
      <c r="C3" s="478"/>
      <c r="D3" s="478"/>
      <c r="E3" s="478"/>
      <c r="F3" s="478"/>
      <c r="G3" s="478"/>
      <c r="H3" s="478"/>
      <c r="I3" s="478"/>
      <c r="J3" s="478"/>
      <c r="K3" s="478"/>
    </row>
    <row r="4" spans="1:11" ht="25" customHeight="1">
      <c r="A4" s="112"/>
      <c r="B4" s="233">
        <f>'3.1'!A4</f>
        <v>2025</v>
      </c>
      <c r="C4" s="472" t="s">
        <v>59</v>
      </c>
      <c r="D4" s="473"/>
      <c r="E4" s="473"/>
      <c r="F4" s="474"/>
      <c r="G4" s="472" t="s">
        <v>182</v>
      </c>
      <c r="H4" s="473"/>
      <c r="I4" s="473"/>
      <c r="J4" s="473"/>
      <c r="K4" s="473"/>
    </row>
    <row r="5" spans="1:11">
      <c r="A5" s="253"/>
      <c r="B5" s="456" t="s">
        <v>181</v>
      </c>
      <c r="C5" s="320"/>
      <c r="D5" s="321"/>
      <c r="E5" s="456" t="s">
        <v>265</v>
      </c>
      <c r="F5" s="476" t="s">
        <v>268</v>
      </c>
      <c r="G5" s="322" t="s">
        <v>61</v>
      </c>
      <c r="H5" s="323" t="s">
        <v>170</v>
      </c>
      <c r="I5" s="323" t="s">
        <v>171</v>
      </c>
      <c r="J5" s="323" t="s">
        <v>266</v>
      </c>
      <c r="K5" s="323" t="s">
        <v>267</v>
      </c>
    </row>
    <row r="6" spans="1:11" ht="25" customHeight="1">
      <c r="A6" s="324" t="s">
        <v>269</v>
      </c>
      <c r="B6" s="442"/>
      <c r="C6" s="203" t="s">
        <v>247</v>
      </c>
      <c r="D6" s="201" t="s">
        <v>248</v>
      </c>
      <c r="E6" s="442"/>
      <c r="F6" s="477"/>
      <c r="G6" s="325" t="s">
        <v>218</v>
      </c>
      <c r="H6" s="326" t="s">
        <v>218</v>
      </c>
      <c r="I6" s="326" t="s">
        <v>218</v>
      </c>
      <c r="J6" s="326" t="s">
        <v>218</v>
      </c>
      <c r="K6" s="326" t="s">
        <v>218</v>
      </c>
    </row>
    <row r="7" spans="1:11" ht="16" customHeight="1">
      <c r="A7" s="137" t="s">
        <v>307</v>
      </c>
      <c r="B7" s="113">
        <f>'5.2'!D27</f>
        <v>393420</v>
      </c>
      <c r="C7" s="288">
        <f>'5.2'!E27</f>
        <v>111882.775396571</v>
      </c>
      <c r="D7" s="113">
        <f>'5.2'!F27</f>
        <v>1230711.0885388509</v>
      </c>
      <c r="E7" s="282">
        <f>C7/$C$11</f>
        <v>0.11922157603327552</v>
      </c>
      <c r="F7" s="307">
        <f>'5.2'!H27</f>
        <v>-1.0172654995369521E-2</v>
      </c>
      <c r="G7" s="305">
        <v>2.1677419354838712</v>
      </c>
      <c r="H7" s="299">
        <v>11.2</v>
      </c>
      <c r="I7" s="299">
        <v>-3.8</v>
      </c>
      <c r="J7" s="299">
        <v>1.4645161290322577</v>
      </c>
      <c r="K7" s="299">
        <v>0.70322580645161348</v>
      </c>
    </row>
    <row r="8" spans="1:11" ht="16" customHeight="1">
      <c r="A8" s="137" t="s">
        <v>84</v>
      </c>
      <c r="B8" s="113">
        <f>'5.3'!D27</f>
        <v>2188618</v>
      </c>
      <c r="C8" s="288">
        <f>'5.3'!E27</f>
        <v>752683.77542020404</v>
      </c>
      <c r="D8" s="113">
        <f>'5.3'!F27</f>
        <v>8262379.30485</v>
      </c>
      <c r="E8" s="282">
        <f t="shared" ref="E8:E10" si="0">C8/$C$11</f>
        <v>0.80205505845024805</v>
      </c>
      <c r="F8" s="307">
        <f>'5.3'!H27</f>
        <v>-8.4446605384000794E-3</v>
      </c>
      <c r="G8" s="305">
        <v>1.274193548387097</v>
      </c>
      <c r="H8" s="300">
        <v>8.3166666666666682</v>
      </c>
      <c r="I8" s="300">
        <v>-4.4666666666666668</v>
      </c>
      <c r="J8" s="300">
        <v>-3.870967741935482E-2</v>
      </c>
      <c r="K8" s="299">
        <v>1.3129032258064517</v>
      </c>
    </row>
    <row r="9" spans="1:11" ht="16" customHeight="1">
      <c r="A9" s="137" t="s">
        <v>314</v>
      </c>
      <c r="B9" s="113">
        <f>'5.4'!D27</f>
        <v>110895</v>
      </c>
      <c r="C9" s="288">
        <f>'5.4'!E27</f>
        <v>36436.936001000002</v>
      </c>
      <c r="D9" s="113">
        <f>'5.4'!F27</f>
        <v>400870.08614600002</v>
      </c>
      <c r="E9" s="282">
        <f t="shared" si="0"/>
        <v>3.882696796236209E-2</v>
      </c>
      <c r="F9" s="307">
        <f>'5.4'!H27</f>
        <v>-3.2388161594801494E-3</v>
      </c>
      <c r="G9" s="305">
        <v>0.59032258064516119</v>
      </c>
      <c r="H9" s="300">
        <v>8.3000000000000007</v>
      </c>
      <c r="I9" s="300">
        <v>-3.2</v>
      </c>
      <c r="J9" s="300">
        <v>-0.29677419354838713</v>
      </c>
      <c r="K9" s="299">
        <v>0.88709677419354827</v>
      </c>
    </row>
    <row r="10" spans="1:11" ht="16" customHeight="1">
      <c r="A10" s="137" t="s">
        <v>31</v>
      </c>
      <c r="B10" s="113">
        <f>'5.5'!D27</f>
        <v>9467</v>
      </c>
      <c r="C10" s="288">
        <f>'5.5'!E27</f>
        <v>37440.535808999994</v>
      </c>
      <c r="D10" s="113">
        <f>'5.5'!F27</f>
        <v>411289.24830900005</v>
      </c>
      <c r="E10" s="282">
        <f t="shared" si="0"/>
        <v>3.9896397554114234E-2</v>
      </c>
      <c r="F10" s="307">
        <f>'5.5'!H27</f>
        <v>-7.6947512664079953E-2</v>
      </c>
      <c r="G10" s="305">
        <v>1.2032258064516128</v>
      </c>
      <c r="H10" s="300">
        <v>8</v>
      </c>
      <c r="I10" s="300">
        <v>-4.0999999999999996</v>
      </c>
      <c r="J10" s="300">
        <v>-8.0645161290322551E-2</v>
      </c>
      <c r="K10" s="299">
        <v>1.2838709677419353</v>
      </c>
    </row>
    <row r="11" spans="1:11" ht="16" customHeight="1">
      <c r="A11" s="142" t="s">
        <v>3</v>
      </c>
      <c r="B11" s="285">
        <f>SUM(B7:B10)</f>
        <v>2702400</v>
      </c>
      <c r="C11" s="289">
        <f t="shared" ref="C11:E11" si="1">SUM(C7:C10)</f>
        <v>938444.02262677508</v>
      </c>
      <c r="D11" s="285">
        <f t="shared" si="1"/>
        <v>10305249.727843851</v>
      </c>
      <c r="E11" s="286">
        <f t="shared" si="1"/>
        <v>0.99999999999999989</v>
      </c>
      <c r="F11" s="308">
        <f>'5.1'!H28</f>
        <v>-1.1377106958184184E-2</v>
      </c>
      <c r="G11" s="306">
        <v>1.2032258064516128</v>
      </c>
      <c r="H11" s="304">
        <v>8</v>
      </c>
      <c r="I11" s="304">
        <v>-4.0999999999999996</v>
      </c>
      <c r="J11" s="304">
        <v>-8.0645161290322551E-2</v>
      </c>
      <c r="K11" s="303">
        <v>1.2838709677419353</v>
      </c>
    </row>
    <row r="12" spans="1:11" ht="15" customHeight="1">
      <c r="A12" s="90"/>
      <c r="B12" s="83"/>
      <c r="C12" s="479" t="s">
        <v>227</v>
      </c>
      <c r="D12" s="479"/>
      <c r="E12" s="479"/>
      <c r="F12" s="479"/>
      <c r="G12" s="482" t="s">
        <v>228</v>
      </c>
      <c r="H12" s="482"/>
      <c r="I12" s="482"/>
      <c r="J12" s="482"/>
      <c r="K12" s="482"/>
    </row>
    <row r="13" spans="1:11" ht="15" customHeight="1">
      <c r="A13" s="83"/>
      <c r="B13" s="83"/>
      <c r="C13" s="479"/>
      <c r="D13" s="479"/>
      <c r="E13" s="479"/>
      <c r="F13" s="479"/>
      <c r="G13" s="482" t="s">
        <v>229</v>
      </c>
      <c r="H13" s="482"/>
      <c r="I13" s="482"/>
      <c r="J13" s="482"/>
      <c r="K13" s="482"/>
    </row>
    <row r="14" spans="1:11" ht="15" customHeight="1">
      <c r="A14" s="83"/>
      <c r="B14" s="83"/>
      <c r="C14" s="87"/>
      <c r="D14" s="87"/>
      <c r="E14" s="87"/>
      <c r="F14" s="87"/>
      <c r="G14" s="77"/>
      <c r="H14" s="77"/>
      <c r="I14" s="77"/>
      <c r="J14" s="77"/>
      <c r="K14" s="77"/>
    </row>
    <row r="15" spans="1:11" ht="15" customHeight="1">
      <c r="A15" s="83"/>
      <c r="B15" s="83"/>
      <c r="C15" s="83"/>
      <c r="D15" s="88"/>
      <c r="E15" s="89"/>
      <c r="F15" s="89"/>
      <c r="G15" s="83"/>
      <c r="H15" s="90"/>
      <c r="I15" s="77"/>
      <c r="J15" s="83"/>
      <c r="K15" s="83"/>
    </row>
    <row r="16" spans="1:11" ht="18" customHeight="1">
      <c r="A16" s="483" t="s">
        <v>259</v>
      </c>
      <c r="B16" s="483"/>
      <c r="C16" s="483"/>
      <c r="D16" s="483"/>
      <c r="E16" s="483"/>
      <c r="F16" s="483" t="s">
        <v>260</v>
      </c>
      <c r="G16" s="483"/>
      <c r="H16" s="483"/>
      <c r="I16" s="483"/>
      <c r="J16" s="483"/>
      <c r="K16" s="483"/>
    </row>
    <row r="17" spans="1:11" ht="15" customHeight="1">
      <c r="A17" s="483"/>
      <c r="B17" s="483"/>
      <c r="C17" s="483"/>
      <c r="D17" s="483"/>
      <c r="E17" s="483"/>
      <c r="F17" s="483"/>
      <c r="G17" s="483"/>
      <c r="H17" s="483"/>
      <c r="I17" s="483"/>
      <c r="J17" s="483"/>
      <c r="K17" s="483"/>
    </row>
    <row r="18" spans="1:11" ht="15" customHeight="1">
      <c r="A18" s="105"/>
      <c r="B18" s="480"/>
      <c r="C18" s="480"/>
      <c r="D18" s="105"/>
      <c r="E18" s="105"/>
      <c r="F18" s="105"/>
      <c r="G18" s="105"/>
      <c r="H18" s="480"/>
      <c r="I18" s="480"/>
      <c r="J18" s="105"/>
      <c r="K18" s="105"/>
    </row>
    <row r="19" spans="1:11" ht="15" customHeight="1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</row>
    <row r="20" spans="1:11" ht="15" customHeight="1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</row>
    <row r="21" spans="1:11" ht="15" customHeight="1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</row>
    <row r="22" spans="1:11" ht="15" customHeight="1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</row>
    <row r="23" spans="1:11" ht="15" customHeight="1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</row>
    <row r="24" spans="1:11" ht="15" customHeight="1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</row>
    <row r="25" spans="1:11" ht="15" customHeight="1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</row>
    <row r="26" spans="1:11" ht="15" customHeight="1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7" spans="1:11" ht="15" customHeight="1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3"/>
    </row>
    <row r="28" spans="1:11" ht="15" customHeight="1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</row>
    <row r="29" spans="1:11" ht="15" customHeight="1">
      <c r="A29" s="83"/>
      <c r="B29" s="83"/>
      <c r="C29" s="83"/>
      <c r="D29" s="83"/>
      <c r="E29" s="83"/>
      <c r="F29" s="83"/>
      <c r="G29" s="83"/>
      <c r="H29" s="83"/>
      <c r="I29" s="83"/>
      <c r="J29" s="83"/>
      <c r="K29" s="83"/>
    </row>
    <row r="30" spans="1:11" ht="15" customHeight="1"/>
    <row r="31" spans="1:11" ht="15" customHeight="1"/>
    <row r="32" spans="1:11" ht="15" customHeight="1"/>
    <row r="33" spans="1:11" ht="15" customHeight="1">
      <c r="A33" s="483" t="s">
        <v>261</v>
      </c>
      <c r="B33" s="445"/>
      <c r="C33" s="445"/>
      <c r="D33" s="445"/>
      <c r="E33" s="445"/>
      <c r="F33" s="483" t="s">
        <v>64</v>
      </c>
      <c r="G33" s="483"/>
      <c r="H33" s="483"/>
      <c r="I33" s="483"/>
      <c r="J33" s="483"/>
      <c r="K33" s="483"/>
    </row>
    <row r="34" spans="1:11" ht="15" customHeight="1">
      <c r="A34" s="445"/>
      <c r="B34" s="445"/>
      <c r="C34" s="445"/>
      <c r="D34" s="445"/>
      <c r="E34" s="445"/>
      <c r="F34" s="483"/>
      <c r="G34" s="483"/>
      <c r="H34" s="483"/>
      <c r="I34" s="483"/>
      <c r="J34" s="483"/>
      <c r="K34" s="483"/>
    </row>
    <row r="35" spans="1:11" ht="15" customHeight="1">
      <c r="A35" s="105"/>
      <c r="B35" s="480"/>
      <c r="C35" s="480"/>
      <c r="D35" s="105"/>
      <c r="E35" s="106"/>
      <c r="F35" s="111"/>
      <c r="G35" s="111"/>
      <c r="H35" s="481"/>
      <c r="I35" s="481"/>
      <c r="J35" s="111"/>
      <c r="K35" s="111"/>
    </row>
    <row r="36" spans="1:11" ht="15" customHeight="1">
      <c r="A36" s="105"/>
      <c r="B36" s="105"/>
      <c r="C36" s="105"/>
      <c r="D36" s="105"/>
      <c r="E36" s="107"/>
      <c r="F36" s="107"/>
      <c r="G36" s="107"/>
      <c r="J36" s="107"/>
      <c r="K36" s="107"/>
    </row>
    <row r="37" spans="1:11" ht="15" customHeight="1"/>
    <row r="38" spans="1:11" ht="15" customHeight="1"/>
    <row r="39" spans="1:11" ht="15" customHeight="1"/>
    <row r="40" spans="1:11" ht="15" customHeight="1"/>
    <row r="41" spans="1:11" ht="15" customHeight="1"/>
    <row r="42" spans="1:11" ht="15" customHeight="1"/>
    <row r="43" spans="1:11" ht="15" customHeight="1"/>
    <row r="44" spans="1:11" ht="15" customHeight="1"/>
    <row r="45" spans="1:11" ht="15" customHeight="1"/>
    <row r="46" spans="1:11" ht="15" customHeight="1"/>
    <row r="47" spans="1:11" ht="15" customHeight="1"/>
    <row r="48" spans="1:11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mergeCells count="19">
    <mergeCell ref="A1:K1"/>
    <mergeCell ref="G4:K4"/>
    <mergeCell ref="A2:B2"/>
    <mergeCell ref="C4:F4"/>
    <mergeCell ref="A3:K3"/>
    <mergeCell ref="H35:I35"/>
    <mergeCell ref="B5:B6"/>
    <mergeCell ref="C12:F13"/>
    <mergeCell ref="G12:K12"/>
    <mergeCell ref="G13:K13"/>
    <mergeCell ref="B18:C18"/>
    <mergeCell ref="H18:I18"/>
    <mergeCell ref="B35:C35"/>
    <mergeCell ref="E5:E6"/>
    <mergeCell ref="F5:F6"/>
    <mergeCell ref="A16:E17"/>
    <mergeCell ref="A33:E34"/>
    <mergeCell ref="F33:K34"/>
    <mergeCell ref="F16:K1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1"/>
  <dimension ref="A1:K57"/>
  <sheetViews>
    <sheetView showGridLines="0" zoomScaleNormal="100" zoomScaleSheetLayoutView="100" workbookViewId="0">
      <selection activeCell="G1" sqref="G1"/>
    </sheetView>
  </sheetViews>
  <sheetFormatPr defaultColWidth="9.1796875" defaultRowHeight="12.5"/>
  <cols>
    <col min="1" max="1" width="20.7265625" style="67" customWidth="1"/>
    <col min="2" max="3" width="8.7265625" style="67" customWidth="1"/>
    <col min="4" max="4" width="9.7265625" style="67" customWidth="1"/>
    <col min="5" max="9" width="6.7265625" style="67" customWidth="1"/>
    <col min="10" max="10" width="7.7265625" style="67" customWidth="1"/>
    <col min="11" max="11" width="8.7265625" style="67" customWidth="1"/>
    <col min="12" max="13" width="9.1796875" style="67"/>
    <col min="14" max="14" width="11.1796875" style="67" customWidth="1"/>
    <col min="15" max="16384" width="9.1796875" style="67"/>
  </cols>
  <sheetData>
    <row r="1" spans="1:11" ht="18">
      <c r="A1" s="471" t="str">
        <f>"5.9 Spotřeba zemního plynu a teplota ovzduší: "&amp;(A3)</f>
        <v>5.9 Spotřeba zemního plynu a teplota ovzduší: IV. čtvrtletí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</row>
    <row r="2" spans="1:11" ht="6" customHeight="1">
      <c r="A2" s="475"/>
      <c r="B2" s="475"/>
      <c r="C2" s="275"/>
      <c r="D2" s="276"/>
      <c r="E2" s="277"/>
      <c r="F2" s="277"/>
      <c r="G2" s="277"/>
      <c r="H2" s="277"/>
    </row>
    <row r="3" spans="1:11" ht="18.75" customHeight="1">
      <c r="A3" s="478" t="str">
        <f>'3.1'!G5</f>
        <v>IV. čtvrtletí</v>
      </c>
      <c r="B3" s="478"/>
      <c r="C3" s="478"/>
      <c r="D3" s="478"/>
      <c r="E3" s="478"/>
      <c r="F3" s="478"/>
      <c r="G3" s="478"/>
      <c r="H3" s="478"/>
      <c r="I3" s="478"/>
      <c r="J3" s="478"/>
      <c r="K3" s="478"/>
    </row>
    <row r="4" spans="1:11" ht="25" customHeight="1">
      <c r="A4" s="112"/>
      <c r="B4" s="233">
        <f>'3.1'!A4</f>
        <v>2025</v>
      </c>
      <c r="C4" s="472" t="s">
        <v>59</v>
      </c>
      <c r="D4" s="473"/>
      <c r="E4" s="473"/>
      <c r="F4" s="474"/>
      <c r="G4" s="472" t="s">
        <v>182</v>
      </c>
      <c r="H4" s="473"/>
      <c r="I4" s="473"/>
      <c r="J4" s="473"/>
      <c r="K4" s="473"/>
    </row>
    <row r="5" spans="1:11" ht="22.5" customHeight="1">
      <c r="A5" s="253"/>
      <c r="B5" s="476" t="s">
        <v>181</v>
      </c>
      <c r="C5" s="320"/>
      <c r="D5" s="321"/>
      <c r="E5" s="486" t="s">
        <v>265</v>
      </c>
      <c r="F5" s="487" t="s">
        <v>268</v>
      </c>
      <c r="G5" s="322" t="s">
        <v>61</v>
      </c>
      <c r="H5" s="323" t="s">
        <v>170</v>
      </c>
      <c r="I5" s="323" t="s">
        <v>171</v>
      </c>
      <c r="J5" s="323" t="s">
        <v>266</v>
      </c>
      <c r="K5" s="323" t="s">
        <v>267</v>
      </c>
    </row>
    <row r="6" spans="1:11" ht="25" customHeight="1">
      <c r="A6" s="324" t="s">
        <v>269</v>
      </c>
      <c r="B6" s="477"/>
      <c r="C6" s="203" t="s">
        <v>247</v>
      </c>
      <c r="D6" s="201" t="s">
        <v>248</v>
      </c>
      <c r="E6" s="442"/>
      <c r="F6" s="477"/>
      <c r="G6" s="325" t="s">
        <v>218</v>
      </c>
      <c r="H6" s="326" t="s">
        <v>218</v>
      </c>
      <c r="I6" s="326" t="s">
        <v>218</v>
      </c>
      <c r="J6" s="326" t="s">
        <v>218</v>
      </c>
      <c r="K6" s="326" t="s">
        <v>218</v>
      </c>
    </row>
    <row r="7" spans="1:11" ht="16" customHeight="1">
      <c r="A7" s="137" t="s">
        <v>307</v>
      </c>
      <c r="B7" s="113">
        <f>'5.2'!D34</f>
        <v>393420</v>
      </c>
      <c r="C7" s="288">
        <f>'5.2'!E34</f>
        <v>267659.52512907202</v>
      </c>
      <c r="D7" s="113">
        <f>'5.2'!F34</f>
        <v>2950878.5256540715</v>
      </c>
      <c r="E7" s="282">
        <f>C7/$C$11</f>
        <v>0.11389745563565877</v>
      </c>
      <c r="F7" s="307">
        <f>'5.2'!H34</f>
        <v>2.121456420596245E-2</v>
      </c>
      <c r="G7" s="305">
        <f>AVERAGE('5.6'!G7,'5.7'!G7,'5.8'!G7)</f>
        <v>5.205985663082437</v>
      </c>
      <c r="H7" s="299">
        <f>MAX('5.6'!H7,'5.7'!H7,'5.8'!H7)</f>
        <v>13.5</v>
      </c>
      <c r="I7" s="299">
        <f>MIN('5.6'!I7,'5.7'!I7,'5.8'!I7)</f>
        <v>-5</v>
      </c>
      <c r="J7" s="299">
        <f>AVERAGE('5.6'!J7,'5.7'!J7,'5.8'!J7)</f>
        <v>5.4635125448028674</v>
      </c>
      <c r="K7" s="299">
        <f>G7-J7</f>
        <v>-0.25752688172043037</v>
      </c>
    </row>
    <row r="8" spans="1:11" ht="16" customHeight="1">
      <c r="A8" s="137" t="s">
        <v>84</v>
      </c>
      <c r="B8" s="113">
        <f>'5.3'!D34</f>
        <v>2188618</v>
      </c>
      <c r="C8" s="288">
        <f>'5.3'!E34</f>
        <v>1944968.2114310961</v>
      </c>
      <c r="D8" s="113">
        <f>'5.3'!F34</f>
        <v>21408464.948589999</v>
      </c>
      <c r="E8" s="282">
        <f t="shared" ref="E8:E10" si="0">C8/$C$11</f>
        <v>0.82764448777757527</v>
      </c>
      <c r="F8" s="307">
        <f>'5.3'!H34</f>
        <v>3.139223840246113E-2</v>
      </c>
      <c r="G8" s="305">
        <f>AVERAGE('5.6'!G8,'5.7'!G8,'5.8'!G8)</f>
        <v>4.1094683393070488</v>
      </c>
      <c r="H8" s="300">
        <f>MAX('5.6'!H8,'5.7'!H8,'5.8'!H8)</f>
        <v>11.733333333333334</v>
      </c>
      <c r="I8" s="300">
        <f>MIN('5.6'!I8,'5.7'!I8,'5.8'!I8)</f>
        <v>-5.6166666666666663</v>
      </c>
      <c r="J8" s="300">
        <f>AVERAGE('5.6'!J8,'5.7'!J8,'5.8'!J8)</f>
        <v>4.2028853046594987</v>
      </c>
      <c r="K8" s="299">
        <f t="shared" ref="K8:K11" si="1">G8-J8</f>
        <v>-9.3416965352449921E-2</v>
      </c>
    </row>
    <row r="9" spans="1:11" ht="16" customHeight="1">
      <c r="A9" s="137" t="s">
        <v>314</v>
      </c>
      <c r="B9" s="113">
        <f>'5.4'!D34</f>
        <v>110895</v>
      </c>
      <c r="C9" s="288">
        <f>'5.4'!E34</f>
        <v>94800.514001999996</v>
      </c>
      <c r="D9" s="113">
        <f>'5.4'!F34</f>
        <v>1045816.567389</v>
      </c>
      <c r="E9" s="282">
        <f t="shared" si="0"/>
        <v>4.0340568237104968E-2</v>
      </c>
      <c r="F9" s="307">
        <f>'5.4'!H34</f>
        <v>3.8643770005767381E-2</v>
      </c>
      <c r="G9" s="305">
        <f>AVERAGE('5.6'!G9,'5.7'!G9,'5.8'!G9)</f>
        <v>3.4756989247311822</v>
      </c>
      <c r="H9" s="300">
        <f>MAX('5.6'!H9,'5.7'!H9,'5.8'!H9)</f>
        <v>11.5</v>
      </c>
      <c r="I9" s="300">
        <f>MIN('5.6'!I9,'5.7'!I9,'5.8'!I9)</f>
        <v>-6.3</v>
      </c>
      <c r="J9" s="300">
        <f>AVERAGE('5.6'!J9,'5.7'!J9,'5.8'!J9)</f>
        <v>3.80899641577061</v>
      </c>
      <c r="K9" s="299">
        <f t="shared" si="1"/>
        <v>-0.33329749103942774</v>
      </c>
    </row>
    <row r="10" spans="1:11" ht="16" customHeight="1">
      <c r="A10" s="137" t="s">
        <v>31</v>
      </c>
      <c r="B10" s="113">
        <f>'5.5'!D34</f>
        <v>9467</v>
      </c>
      <c r="C10" s="288">
        <f>'5.5'!E34</f>
        <v>42576.176690000008</v>
      </c>
      <c r="D10" s="113">
        <f>'5.5'!F34</f>
        <v>467353.44760100008</v>
      </c>
      <c r="E10" s="282">
        <f t="shared" si="0"/>
        <v>1.8117487854567418E-2</v>
      </c>
      <c r="F10" s="307">
        <f>'5.5'!H34</f>
        <v>-0.67439550826949823</v>
      </c>
      <c r="G10" s="305">
        <f>AVERAGE('5.6'!G10,'5.7'!G10,'5.8'!G10)</f>
        <v>4.0442652329749089</v>
      </c>
      <c r="H10" s="300">
        <f>MAX('5.6'!H10,'5.7'!H10,'5.8'!H10)</f>
        <v>11.7</v>
      </c>
      <c r="I10" s="300">
        <f>MIN('5.6'!I10,'5.7'!I10,'5.8'!I10)</f>
        <v>-5.6</v>
      </c>
      <c r="J10" s="300">
        <f>AVERAGE('5.6'!J10,'5.7'!J10,'5.8'!J10)</f>
        <v>4.1711469534050183</v>
      </c>
      <c r="K10" s="299">
        <f t="shared" si="1"/>
        <v>-0.12688172043010937</v>
      </c>
    </row>
    <row r="11" spans="1:11" ht="16" customHeight="1">
      <c r="A11" s="142" t="s">
        <v>3</v>
      </c>
      <c r="B11" s="285">
        <f>'5.1'!D35</f>
        <v>2702400</v>
      </c>
      <c r="C11" s="289">
        <f>'5.1'!E35</f>
        <v>2350004.4284156403</v>
      </c>
      <c r="D11" s="285">
        <f>'5.1'!F35</f>
        <v>25872513.502032284</v>
      </c>
      <c r="E11" s="286">
        <f t="shared" ref="E11" si="2">SUM(E7:E10)</f>
        <v>0.99999999950490648</v>
      </c>
      <c r="F11" s="308">
        <f>'5.1'!H35</f>
        <v>-8.396223711466106E-3</v>
      </c>
      <c r="G11" s="306">
        <f>AVERAGE('5.6'!G11,'5.7'!G11,'5.8'!G11)</f>
        <v>4.0442652329749089</v>
      </c>
      <c r="H11" s="304">
        <f>MAX('5.6'!H11,'5.7'!H11,'5.8'!H11)</f>
        <v>11.7</v>
      </c>
      <c r="I11" s="304">
        <f>MIN('5.6'!I11,'5.7'!I11,'5.8'!I11)</f>
        <v>-5.6</v>
      </c>
      <c r="J11" s="304">
        <f>AVERAGE('5.6'!J11,'5.7'!J11,'5.8'!J11)</f>
        <v>4.1711469534050183</v>
      </c>
      <c r="K11" s="303">
        <f t="shared" si="1"/>
        <v>-0.12688172043010937</v>
      </c>
    </row>
    <row r="12" spans="1:11" ht="15" customHeight="1">
      <c r="A12" s="90"/>
      <c r="B12" s="83"/>
      <c r="C12" s="479" t="s">
        <v>227</v>
      </c>
      <c r="D12" s="479"/>
      <c r="E12" s="479"/>
      <c r="F12" s="479"/>
      <c r="G12" s="482" t="s">
        <v>228</v>
      </c>
      <c r="H12" s="482"/>
      <c r="I12" s="482"/>
      <c r="J12" s="482"/>
      <c r="K12" s="482"/>
    </row>
    <row r="13" spans="1:11" ht="15" customHeight="1">
      <c r="A13" s="83"/>
      <c r="B13" s="83"/>
      <c r="C13" s="479"/>
      <c r="D13" s="479"/>
      <c r="E13" s="479"/>
      <c r="F13" s="479"/>
      <c r="G13" s="482" t="s">
        <v>229</v>
      </c>
      <c r="H13" s="482"/>
      <c r="I13" s="482"/>
      <c r="J13" s="482"/>
      <c r="K13" s="482"/>
    </row>
    <row r="14" spans="1:11" ht="15" customHeight="1">
      <c r="A14" s="83"/>
      <c r="B14" s="83"/>
      <c r="C14" s="87"/>
      <c r="D14" s="87"/>
      <c r="E14" s="87"/>
      <c r="F14" s="87"/>
      <c r="G14" s="77"/>
      <c r="H14" s="77"/>
      <c r="I14" s="77"/>
      <c r="J14" s="77"/>
      <c r="K14" s="77"/>
    </row>
    <row r="15" spans="1:11" ht="15" customHeight="1">
      <c r="A15" s="83"/>
      <c r="B15" s="83"/>
      <c r="C15" s="83"/>
      <c r="D15" s="88"/>
      <c r="E15" s="89"/>
      <c r="F15" s="89"/>
      <c r="G15" s="83"/>
      <c r="H15" s="90"/>
      <c r="I15" s="77"/>
      <c r="J15" s="83"/>
      <c r="K15" s="83"/>
    </row>
    <row r="16" spans="1:11" ht="18" customHeight="1">
      <c r="A16" s="483" t="s">
        <v>259</v>
      </c>
      <c r="B16" s="483"/>
      <c r="C16" s="483"/>
      <c r="D16" s="483"/>
      <c r="E16" s="483"/>
      <c r="F16" s="483" t="s">
        <v>260</v>
      </c>
      <c r="G16" s="483"/>
      <c r="H16" s="483"/>
      <c r="I16" s="483"/>
      <c r="J16" s="483"/>
      <c r="K16" s="483"/>
    </row>
    <row r="17" spans="1:11" ht="15" customHeight="1">
      <c r="A17" s="483"/>
      <c r="B17" s="483"/>
      <c r="C17" s="483"/>
      <c r="D17" s="483"/>
      <c r="E17" s="483"/>
      <c r="F17" s="483"/>
      <c r="G17" s="483"/>
      <c r="H17" s="483"/>
      <c r="I17" s="483"/>
      <c r="J17" s="483"/>
      <c r="K17" s="483"/>
    </row>
    <row r="18" spans="1:11" ht="15" customHeight="1">
      <c r="A18" s="105"/>
      <c r="B18" s="485"/>
      <c r="C18" s="485"/>
      <c r="D18" s="105"/>
      <c r="E18" s="105"/>
      <c r="F18" s="105"/>
      <c r="G18" s="105"/>
      <c r="H18" s="485"/>
      <c r="I18" s="485"/>
      <c r="J18" s="105"/>
      <c r="K18" s="105"/>
    </row>
    <row r="19" spans="1:11" ht="15" customHeight="1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</row>
    <row r="20" spans="1:11" ht="15" customHeight="1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</row>
    <row r="21" spans="1:11" ht="15" customHeight="1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</row>
    <row r="22" spans="1:11" ht="15" customHeight="1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</row>
    <row r="23" spans="1:11" ht="15" customHeight="1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</row>
    <row r="24" spans="1:11" ht="15" customHeight="1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</row>
    <row r="25" spans="1:11" ht="15" customHeight="1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</row>
    <row r="26" spans="1:11" ht="15" customHeight="1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7" spans="1:11" ht="15" customHeight="1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3"/>
    </row>
    <row r="28" spans="1:11" ht="15" customHeight="1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</row>
    <row r="29" spans="1:11" ht="15" customHeight="1">
      <c r="A29" s="83"/>
      <c r="B29" s="83"/>
      <c r="C29" s="83"/>
      <c r="D29" s="83"/>
      <c r="E29" s="83"/>
      <c r="F29" s="83"/>
      <c r="G29" s="83"/>
      <c r="H29" s="83"/>
      <c r="I29" s="83"/>
      <c r="J29" s="83"/>
      <c r="K29" s="83"/>
    </row>
    <row r="30" spans="1:11" ht="15" customHeight="1"/>
    <row r="31" spans="1:11" ht="15" customHeight="1"/>
    <row r="32" spans="1:11" ht="15" customHeight="1"/>
    <row r="33" spans="1:11" ht="15" customHeight="1">
      <c r="A33" s="483" t="s">
        <v>261</v>
      </c>
      <c r="B33" s="445"/>
      <c r="C33" s="445"/>
      <c r="D33" s="445"/>
      <c r="E33" s="445"/>
      <c r="F33" s="483" t="s">
        <v>64</v>
      </c>
      <c r="G33" s="483"/>
      <c r="H33" s="483"/>
      <c r="I33" s="483"/>
      <c r="J33" s="483"/>
      <c r="K33" s="483"/>
    </row>
    <row r="34" spans="1:11" ht="15" customHeight="1">
      <c r="A34" s="445"/>
      <c r="B34" s="445"/>
      <c r="C34" s="445"/>
      <c r="D34" s="445"/>
      <c r="E34" s="445"/>
      <c r="F34" s="483"/>
      <c r="G34" s="483"/>
      <c r="H34" s="483"/>
      <c r="I34" s="483"/>
      <c r="J34" s="483"/>
      <c r="K34" s="483"/>
    </row>
    <row r="35" spans="1:11" ht="15" customHeight="1">
      <c r="A35" s="105"/>
      <c r="B35" s="485"/>
      <c r="C35" s="485"/>
      <c r="D35" s="105"/>
      <c r="E35" s="106"/>
      <c r="F35" s="111"/>
      <c r="G35" s="111"/>
      <c r="H35" s="484"/>
      <c r="I35" s="484"/>
      <c r="J35" s="111"/>
      <c r="K35" s="111"/>
    </row>
    <row r="36" spans="1:11" ht="15" customHeight="1">
      <c r="A36" s="105"/>
      <c r="B36" s="105"/>
      <c r="C36" s="105"/>
      <c r="D36" s="105"/>
      <c r="E36" s="107"/>
      <c r="F36" s="107"/>
      <c r="G36" s="107"/>
      <c r="J36" s="107"/>
      <c r="K36" s="107"/>
    </row>
    <row r="37" spans="1:11" ht="15" customHeight="1"/>
    <row r="38" spans="1:11" ht="15" customHeight="1"/>
    <row r="39" spans="1:11" ht="15" customHeight="1"/>
    <row r="40" spans="1:11" ht="15" customHeight="1"/>
    <row r="41" spans="1:11" ht="15" customHeight="1"/>
    <row r="42" spans="1:11" ht="15" customHeight="1"/>
    <row r="43" spans="1:11" ht="15" customHeight="1"/>
    <row r="44" spans="1:11" ht="15" customHeight="1"/>
    <row r="45" spans="1:11" ht="15" customHeight="1"/>
    <row r="46" spans="1:11" ht="15" customHeight="1"/>
    <row r="47" spans="1:11" ht="15" customHeight="1"/>
    <row r="48" spans="1:11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mergeCells count="19">
    <mergeCell ref="C4:F4"/>
    <mergeCell ref="A2:B2"/>
    <mergeCell ref="A1:K1"/>
    <mergeCell ref="G4:K4"/>
    <mergeCell ref="A3:K3"/>
    <mergeCell ref="H35:I35"/>
    <mergeCell ref="B5:B6"/>
    <mergeCell ref="C12:F13"/>
    <mergeCell ref="G12:K12"/>
    <mergeCell ref="G13:K13"/>
    <mergeCell ref="B18:C18"/>
    <mergeCell ref="H18:I18"/>
    <mergeCell ref="B35:C35"/>
    <mergeCell ref="E5:E6"/>
    <mergeCell ref="F5:F6"/>
    <mergeCell ref="A16:E17"/>
    <mergeCell ref="A33:E34"/>
    <mergeCell ref="F33:K34"/>
    <mergeCell ref="F16:K1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E47"/>
  <sheetViews>
    <sheetView showGridLines="0" zoomScaleNormal="100" zoomScaleSheetLayoutView="100" workbookViewId="0">
      <selection activeCell="G1" sqref="G1"/>
    </sheetView>
  </sheetViews>
  <sheetFormatPr defaultColWidth="9.1796875" defaultRowHeight="13"/>
  <cols>
    <col min="1" max="1" width="5.81640625" style="40" customWidth="1"/>
    <col min="2" max="2" width="90.26953125" style="39" customWidth="1"/>
    <col min="3" max="3" width="3.26953125" style="40" bestFit="1" customWidth="1"/>
    <col min="4" max="4" width="9.1796875" style="40" customWidth="1"/>
    <col min="5" max="5" width="9.1796875" style="40" hidden="1" customWidth="1"/>
    <col min="6" max="16384" width="9.1796875" style="40"/>
  </cols>
  <sheetData>
    <row r="1" spans="1:5" ht="20">
      <c r="A1" s="38" t="s">
        <v>231</v>
      </c>
    </row>
    <row r="2" spans="1:5" ht="6" customHeight="1"/>
    <row r="3" spans="1:5" ht="14">
      <c r="A3" s="345" t="str">
        <f>MID(E3,1,1+IF(MID(E3,2,1)&lt;&gt;" ",IF(MID(E3,3,1)&lt;&gt;" ",IF(MID(E3,4,1)&lt;&gt;" ",3,2),1),0))</f>
        <v>1</v>
      </c>
      <c r="B3" s="346" t="str">
        <f>MID(E3,3+IF(MID(E3,2,1)&lt;&gt;" ",IF(MID(E3,3,1)&lt;&gt;" ",IF(MID(E3,4,1)&lt;&gt;" ",3,2),1),0),100)</f>
        <v>ZKRATKY A POJMY</v>
      </c>
      <c r="C3" s="41">
        <v>4</v>
      </c>
      <c r="E3" s="42" t="str">
        <f>'1'!A1</f>
        <v>1 ZKRATKY A POJMY</v>
      </c>
    </row>
    <row r="4" spans="1:5" ht="14">
      <c r="A4" s="345" t="str">
        <f t="shared" ref="A4:A36" si="0">MID(E4,1,1+IF(MID(E4,2,1)&lt;&gt;" ",IF(MID(E4,3,1)&lt;&gt;" ",IF(MID(E4,4,1)&lt;&gt;" ",3,2),1),0))</f>
        <v>2</v>
      </c>
      <c r="B4" s="346" t="str">
        <f t="shared" ref="B4:B36" si="1">MID(E4,3+IF(MID(E4,2,1)&lt;&gt;" ",IF(MID(E4,3,1)&lt;&gt;" ",IF(MID(E4,4,1)&lt;&gt;" ",3,2),1),0),100)</f>
        <v>STRUČNÝ PŘEHLED ZA IV. ČTVRTLETÍ 2025</v>
      </c>
      <c r="C4" s="41">
        <v>6</v>
      </c>
      <c r="E4" s="42" t="str">
        <f>'2'!A1</f>
        <v>2 STRUČNÝ PŘEHLED ZA IV. ČTVRTLETÍ 2025</v>
      </c>
    </row>
    <row r="5" spans="1:5" ht="14">
      <c r="A5" s="345" t="str">
        <f t="shared" si="0"/>
        <v>3</v>
      </c>
      <c r="B5" s="346" t="str">
        <f t="shared" si="1"/>
        <v>PLYNÁRENSKÁ SOUSTAVA</v>
      </c>
      <c r="C5" s="41">
        <v>7</v>
      </c>
      <c r="E5" s="42" t="str">
        <f>'3.1'!A1</f>
        <v>3 PLYNÁRENSKÁ SOUSTAVA</v>
      </c>
    </row>
    <row r="6" spans="1:5" ht="14">
      <c r="A6" s="345" t="str">
        <f t="shared" si="0"/>
        <v>3.1</v>
      </c>
      <c r="B6" s="346" t="str">
        <f t="shared" si="1"/>
        <v>Čtvrtletní bilance plynárenské soustavy ČR</v>
      </c>
      <c r="C6" s="41">
        <v>7</v>
      </c>
      <c r="E6" s="43" t="str">
        <f>'3.1'!A2</f>
        <v>3.1 Čtvrtletní bilance plynárenské soustavy ČR</v>
      </c>
    </row>
    <row r="7" spans="1:5" ht="14">
      <c r="A7" s="345" t="str">
        <f t="shared" si="0"/>
        <v>3.2</v>
      </c>
      <c r="B7" s="346" t="str">
        <f t="shared" si="1"/>
        <v>Bilance plynárenské soustavy ČR v průběhu roku</v>
      </c>
      <c r="C7" s="41">
        <v>8</v>
      </c>
      <c r="E7" s="43" t="str">
        <f>'3.2'!A1</f>
        <v>3.2 Bilance plynárenské soustavy ČR v průběhu roku</v>
      </c>
    </row>
    <row r="8" spans="1:5" ht="14">
      <c r="A8" s="345" t="str">
        <f t="shared" si="0"/>
        <v>4</v>
      </c>
      <c r="B8" s="346" t="str">
        <f t="shared" si="1"/>
        <v>SPOTŘEBA ZEMNÍHO PLYNU</v>
      </c>
      <c r="C8" s="41">
        <v>9</v>
      </c>
      <c r="E8" s="42" t="str">
        <f>'4.1'!A1</f>
        <v>4 SPOTŘEBA ZEMNÍHO PLYNU</v>
      </c>
    </row>
    <row r="9" spans="1:5" ht="14">
      <c r="A9" s="345" t="str">
        <f t="shared" si="0"/>
        <v>4.1</v>
      </c>
      <c r="B9" s="346" t="str">
        <f t="shared" si="1"/>
        <v>Spotřeba zemního plynu v ČR v průběhu roku</v>
      </c>
      <c r="C9" s="41">
        <v>9</v>
      </c>
      <c r="E9" s="42" t="str">
        <f>'4.1'!A2</f>
        <v>4.1 Spotřeba zemního plynu v ČR v průběhu roku</v>
      </c>
    </row>
    <row r="10" spans="1:5" ht="14">
      <c r="A10" s="345" t="str">
        <f t="shared" si="0"/>
        <v>4.2</v>
      </c>
      <c r="B10" s="346" t="str">
        <f t="shared" si="1"/>
        <v>Spotřeba zemního plynu v ČR podle kategorií zákazníků v průběhu roku</v>
      </c>
      <c r="C10" s="41">
        <v>10</v>
      </c>
      <c r="E10" s="43" t="str">
        <f>'4.2'!A1</f>
        <v>4.2 Spotřeba zemního plynu v ČR podle kategorií zákazníků v průběhu roku</v>
      </c>
    </row>
    <row r="11" spans="1:5" ht="14">
      <c r="A11" s="345" t="str">
        <f t="shared" si="0"/>
        <v>4.3</v>
      </c>
      <c r="B11" s="346" t="str">
        <f t="shared" si="1"/>
        <v>Denní průběh spotřeb zemního plynu v ČR</v>
      </c>
      <c r="C11" s="41">
        <v>11</v>
      </c>
      <c r="E11" s="43" t="str">
        <f>'4.3'!A1</f>
        <v>4.3 Denní průběh spotřeb zemního plynu v ČR</v>
      </c>
    </row>
    <row r="12" spans="1:5" ht="14">
      <c r="A12" s="345" t="str">
        <f t="shared" si="0"/>
        <v>5</v>
      </c>
      <c r="B12" s="346" t="str">
        <f t="shared" si="1"/>
        <v>SPOTŘEBA ZEMNÍHO PLYNU PODLE DISTRIBUČNÍCH SOUSTAV</v>
      </c>
      <c r="C12" s="41">
        <v>12</v>
      </c>
      <c r="E12" s="42" t="str">
        <f>'5.1'!A1</f>
        <v>5 SPOTŘEBA ZEMNÍHO PLYNU PODLE DISTRIBUČNÍCH SOUSTAV</v>
      </c>
    </row>
    <row r="13" spans="1:5" ht="14">
      <c r="A13" s="345" t="str">
        <f t="shared" si="0"/>
        <v>5.1</v>
      </c>
      <c r="B13" s="346" t="str">
        <f t="shared" si="1"/>
        <v>Spotřeba zemního plynu podle kategorií zákazníků v ČR</v>
      </c>
      <c r="C13" s="41">
        <v>12</v>
      </c>
      <c r="E13" s="43" t="str">
        <f>'5.1'!A2</f>
        <v>5.1 Spotřeba zemního plynu podle kategorií zákazníků v ČR</v>
      </c>
    </row>
    <row r="14" spans="1:5" ht="14">
      <c r="A14" s="345" t="str">
        <f t="shared" si="0"/>
        <v>5.2</v>
      </c>
      <c r="B14" s="346" t="str">
        <f t="shared" si="1"/>
        <v>Spotřeba zemního plynu u společnosti PPD</v>
      </c>
      <c r="C14" s="41">
        <v>13</v>
      </c>
      <c r="E14" s="44" t="str">
        <f>'5.2'!A1</f>
        <v>5.2 Spotřeba zemního plynu u společnosti PPD</v>
      </c>
    </row>
    <row r="15" spans="1:5" ht="14">
      <c r="A15" s="345" t="str">
        <f t="shared" si="0"/>
        <v>5.3</v>
      </c>
      <c r="B15" s="346" t="str">
        <f t="shared" si="1"/>
        <v>Spotřeba zemního plynu u společnosti GasNet</v>
      </c>
      <c r="C15" s="41">
        <v>14</v>
      </c>
      <c r="E15" s="43" t="str">
        <f>'5.3'!A1</f>
        <v>5.3 Spotřeba zemního plynu u společnosti GasNet</v>
      </c>
    </row>
    <row r="16" spans="1:5" ht="14">
      <c r="A16" s="345" t="str">
        <f t="shared" si="0"/>
        <v>5.4</v>
      </c>
      <c r="B16" s="346" t="str">
        <f t="shared" si="1"/>
        <v>Spotřeba zemního plynu u společnosti GasD</v>
      </c>
      <c r="C16" s="41">
        <v>15</v>
      </c>
      <c r="E16" s="43" t="str">
        <f>'5.4'!A1</f>
        <v>5.4 Spotřeba zemního plynu u společnosti GasD</v>
      </c>
    </row>
    <row r="17" spans="1:5" ht="14">
      <c r="A17" s="345" t="str">
        <f t="shared" si="0"/>
        <v>5.5</v>
      </c>
      <c r="B17" s="346" t="str">
        <f t="shared" si="1"/>
        <v>Spotřeba zemního plynu u ostatních společností</v>
      </c>
      <c r="C17" s="41">
        <v>16</v>
      </c>
      <c r="E17" s="43" t="str">
        <f>'5.5'!A1</f>
        <v>5.5 Spotřeba zemního plynu u ostatních společností</v>
      </c>
    </row>
    <row r="18" spans="1:5" ht="14">
      <c r="A18" s="345" t="str">
        <f t="shared" si="0"/>
        <v>5.6</v>
      </c>
      <c r="B18" s="346" t="str">
        <f t="shared" si="1"/>
        <v>Spotřeba zemního plynu a teplota ovzduší: říjen</v>
      </c>
      <c r="C18" s="41">
        <v>17</v>
      </c>
      <c r="E18" s="43" t="str">
        <f>'5.6'!A1</f>
        <v>5.6 Spotřeba zemního plynu a teplota ovzduší: říjen</v>
      </c>
    </row>
    <row r="19" spans="1:5" ht="14">
      <c r="A19" s="345" t="str">
        <f t="shared" si="0"/>
        <v>5.7</v>
      </c>
      <c r="B19" s="346" t="str">
        <f t="shared" si="1"/>
        <v>Spotřeba zemního plynu a teplota ovzduší: listopad</v>
      </c>
      <c r="C19" s="41">
        <v>18</v>
      </c>
      <c r="E19" s="43" t="str">
        <f>'5.7'!A1</f>
        <v>5.7 Spotřeba zemního plynu a teplota ovzduší: listopad</v>
      </c>
    </row>
    <row r="20" spans="1:5" ht="14">
      <c r="A20" s="345" t="str">
        <f t="shared" si="0"/>
        <v>5.8</v>
      </c>
      <c r="B20" s="346" t="str">
        <f t="shared" si="1"/>
        <v>Spotřeba zemního plynu a teplota ovzduší: prosinec</v>
      </c>
      <c r="C20" s="41">
        <v>19</v>
      </c>
      <c r="E20" s="43" t="str">
        <f>'5.8'!A1</f>
        <v>5.8 Spotřeba zemního plynu a teplota ovzduší: prosinec</v>
      </c>
    </row>
    <row r="21" spans="1:5" ht="14">
      <c r="A21" s="345" t="str">
        <f t="shared" si="0"/>
        <v>5.9</v>
      </c>
      <c r="B21" s="346" t="str">
        <f t="shared" si="1"/>
        <v>Spotřeba zemního plynu a teplota ovzduší: IV. čtvrtletí</v>
      </c>
      <c r="C21" s="41">
        <v>20</v>
      </c>
      <c r="E21" s="43" t="str">
        <f>'5.9'!A1</f>
        <v>5.9 Spotřeba zemního plynu a teplota ovzduší: IV. čtvrtletí</v>
      </c>
    </row>
    <row r="22" spans="1:5" ht="14">
      <c r="A22" s="345" t="str">
        <f t="shared" si="0"/>
        <v>5.10</v>
      </c>
      <c r="B22" s="346" t="str">
        <f t="shared" si="1"/>
        <v>Spotřeba zemního plynu podle plynárenských soustav v průběhu roku</v>
      </c>
      <c r="C22" s="41">
        <v>21</v>
      </c>
      <c r="E22" s="43" t="str">
        <f>'5.10'!A1</f>
        <v>5.10 Spotřeba zemního plynu podle plynárenských soustav v průběhu roku</v>
      </c>
    </row>
    <row r="23" spans="1:5" ht="14">
      <c r="A23" s="345" t="str">
        <f t="shared" si="0"/>
        <v>6</v>
      </c>
      <c r="B23" s="346" t="str">
        <f t="shared" si="1"/>
        <v>SPOTŘEBA ZEMNÍHO PLYNU PODLE KRAJŮ</v>
      </c>
      <c r="C23" s="41">
        <v>22</v>
      </c>
      <c r="E23" s="42" t="str">
        <f>'6.1'!A1</f>
        <v>6 SPOTŘEBA ZEMNÍHO PLYNU PODLE KRAJŮ</v>
      </c>
    </row>
    <row r="24" spans="1:5" ht="14">
      <c r="A24" s="345" t="str">
        <f t="shared" si="0"/>
        <v>6.1</v>
      </c>
      <c r="B24" s="346" t="str">
        <f t="shared" si="1"/>
        <v>Spotřeba zemního plynu: Jihočeský a Jihomoravský kraj</v>
      </c>
      <c r="C24" s="41">
        <v>22</v>
      </c>
      <c r="E24" s="43" t="str">
        <f>'6.1'!A2</f>
        <v>6.1 Spotřeba zemního plynu: Jihočeský a Jihomoravský kraj</v>
      </c>
    </row>
    <row r="25" spans="1:5" ht="14">
      <c r="A25" s="345" t="str">
        <f t="shared" si="0"/>
        <v>6.2</v>
      </c>
      <c r="B25" s="346" t="str">
        <f t="shared" si="1"/>
        <v>Spotřeba zemního plynu: Karlovarský a Královéhradecký kraj</v>
      </c>
      <c r="C25" s="41">
        <v>23</v>
      </c>
      <c r="E25" s="43" t="str">
        <f>'6.2'!A1</f>
        <v>6.2 Spotřeba zemního plynu: Karlovarský a Královéhradecký kraj</v>
      </c>
    </row>
    <row r="26" spans="1:5" ht="14">
      <c r="A26" s="345" t="str">
        <f t="shared" si="0"/>
        <v>6.3</v>
      </c>
      <c r="B26" s="346" t="str">
        <f t="shared" si="1"/>
        <v>Spotřeba zemního plynu: Liberecký a Moravskoslezský kraj</v>
      </c>
      <c r="C26" s="41">
        <v>24</v>
      </c>
      <c r="E26" s="43" t="str">
        <f>'6.3'!A1</f>
        <v>6.3 Spotřeba zemního plynu: Liberecký a Moravskoslezský kraj</v>
      </c>
    </row>
    <row r="27" spans="1:5" ht="14">
      <c r="A27" s="345" t="str">
        <f t="shared" si="0"/>
        <v>6.4</v>
      </c>
      <c r="B27" s="346" t="str">
        <f t="shared" si="1"/>
        <v>Spotřeba zemního plynu: Olomoucký a Pardubický kraj</v>
      </c>
      <c r="C27" s="41">
        <v>25</v>
      </c>
      <c r="E27" s="43" t="str">
        <f>'6.4'!A1</f>
        <v>6.4 Spotřeba zemního plynu: Olomoucký a Pardubický kraj</v>
      </c>
    </row>
    <row r="28" spans="1:5" ht="14">
      <c r="A28" s="345" t="str">
        <f t="shared" si="0"/>
        <v>6.5</v>
      </c>
      <c r="B28" s="346" t="str">
        <f t="shared" si="1"/>
        <v>Spotřeba zemního plynu: Plzeňský kraj a Hlavní město Praha</v>
      </c>
      <c r="C28" s="41">
        <v>26</v>
      </c>
      <c r="E28" s="43" t="str">
        <f>'6.5'!A1</f>
        <v>6.5 Spotřeba zemního plynu: Plzeňský kraj a Hlavní město Praha</v>
      </c>
    </row>
    <row r="29" spans="1:5" ht="14">
      <c r="A29" s="345" t="str">
        <f t="shared" si="0"/>
        <v>6.6</v>
      </c>
      <c r="B29" s="346" t="str">
        <f t="shared" si="1"/>
        <v>Spotřeba zemního plynu: Středočeský a Ústecký kraj</v>
      </c>
      <c r="C29" s="41">
        <v>27</v>
      </c>
      <c r="E29" s="43" t="str">
        <f>'6.6'!A1</f>
        <v>6.6 Spotřeba zemního plynu: Středočeský a Ústecký kraj</v>
      </c>
    </row>
    <row r="30" spans="1:5" ht="14">
      <c r="A30" s="345" t="str">
        <f t="shared" si="0"/>
        <v>6.7</v>
      </c>
      <c r="B30" s="346" t="str">
        <f t="shared" si="1"/>
        <v>Spotřeba zemního plynu: Kraj Vysočina a Zlínský kraj</v>
      </c>
      <c r="C30" s="41">
        <v>28</v>
      </c>
      <c r="E30" s="43" t="str">
        <f>'6.7'!A1</f>
        <v>6.7 Spotřeba zemního plynu: Kraj Vysočina a Zlínský kraj</v>
      </c>
    </row>
    <row r="31" spans="1:5" ht="14">
      <c r="A31" s="345" t="str">
        <f t="shared" si="0"/>
        <v>6.8</v>
      </c>
      <c r="B31" s="346" t="str">
        <f t="shared" si="1"/>
        <v>Spotřeba zemního plynu a teplota ovzduší podle krajů: říjen</v>
      </c>
      <c r="C31" s="41">
        <v>29</v>
      </c>
      <c r="E31" s="43" t="str">
        <f>'6.8'!A1</f>
        <v>6.8 Spotřeba zemního plynu a teplota ovzduší podle krajů: říjen</v>
      </c>
    </row>
    <row r="32" spans="1:5" ht="14">
      <c r="A32" s="345" t="str">
        <f t="shared" si="0"/>
        <v>6.9</v>
      </c>
      <c r="B32" s="346" t="str">
        <f t="shared" si="1"/>
        <v>Spotřeba zemního plynu a teplota ovzduší podle krajů: listopad</v>
      </c>
      <c r="C32" s="41">
        <v>30</v>
      </c>
      <c r="E32" s="43" t="str">
        <f>'6.9'!A1</f>
        <v>6.9 Spotřeba zemního plynu a teplota ovzduší podle krajů: listopad</v>
      </c>
    </row>
    <row r="33" spans="1:5" ht="14">
      <c r="A33" s="345" t="str">
        <f t="shared" si="0"/>
        <v>6.10</v>
      </c>
      <c r="B33" s="346" t="str">
        <f t="shared" si="1"/>
        <v>Spotřeba zemního plynu a teplota ovzduší podle krajů: prosinec</v>
      </c>
      <c r="C33" s="41">
        <v>31</v>
      </c>
      <c r="E33" s="43" t="str">
        <f>'6.10'!A1</f>
        <v>6.10 Spotřeba zemního plynu a teplota ovzduší podle krajů: prosinec</v>
      </c>
    </row>
    <row r="34" spans="1:5" ht="14">
      <c r="A34" s="345" t="str">
        <f t="shared" si="0"/>
        <v>6.11</v>
      </c>
      <c r="B34" s="346" t="str">
        <f t="shared" si="1"/>
        <v>Spotřeba zemního plynu a teplota ovzduší podle krajů: IV. čtvrtletí</v>
      </c>
      <c r="C34" s="41">
        <v>32</v>
      </c>
      <c r="E34" s="43" t="str">
        <f>'6.11'!A1</f>
        <v>6.11 Spotřeba zemního plynu a teplota ovzduší podle krajů: IV. čtvrtletí</v>
      </c>
    </row>
    <row r="35" spans="1:5" ht="14">
      <c r="A35" s="345" t="str">
        <f t="shared" si="0"/>
        <v>6.12</v>
      </c>
      <c r="B35" s="346" t="str">
        <f t="shared" si="1"/>
        <v>Spotřeba zemního plynu podle krajů v ČR v průběhu roku</v>
      </c>
      <c r="C35" s="41">
        <v>33</v>
      </c>
      <c r="E35" s="43" t="str">
        <f>'6.12'!A1</f>
        <v>6.12 Spotřeba zemního plynu podle krajů v ČR v průběhu roku</v>
      </c>
    </row>
    <row r="36" spans="1:5" ht="14">
      <c r="A36" s="345" t="str">
        <f t="shared" si="0"/>
        <v>7</v>
      </c>
      <c r="B36" s="346" t="str">
        <f t="shared" si="1"/>
        <v>MAPA PLYNÁRENSKÉ SOUSTAVY ČR</v>
      </c>
      <c r="C36" s="41">
        <v>35</v>
      </c>
      <c r="E36" s="42" t="str">
        <f>'7'!A1</f>
        <v>7 MAPA PLYNÁRENSKÉ SOUSTAVY ČR</v>
      </c>
    </row>
    <row r="37" spans="1:5" ht="12" customHeight="1">
      <c r="B37" s="45"/>
    </row>
    <row r="38" spans="1:5" ht="12" customHeight="1">
      <c r="B38" s="45"/>
    </row>
    <row r="39" spans="1:5" ht="12" customHeight="1">
      <c r="B39" s="45"/>
    </row>
    <row r="40" spans="1:5" ht="12" customHeight="1">
      <c r="B40" s="45"/>
    </row>
    <row r="41" spans="1:5" ht="12" customHeight="1"/>
    <row r="42" spans="1:5" ht="12" customHeight="1"/>
    <row r="43" spans="1:5" ht="12" customHeight="1"/>
    <row r="44" spans="1:5" ht="12" customHeight="1"/>
    <row r="45" spans="1:5" ht="12" customHeight="1"/>
    <row r="46" spans="1:5" ht="12" customHeight="1"/>
    <row r="47" spans="1:5" ht="12" customHeight="1"/>
  </sheetData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2"/>
  <dimension ref="A1:O42"/>
  <sheetViews>
    <sheetView showGridLines="0" zoomScaleNormal="100" zoomScaleSheetLayoutView="100" workbookViewId="0">
      <selection activeCell="G1" sqref="G1"/>
    </sheetView>
  </sheetViews>
  <sheetFormatPr defaultRowHeight="10"/>
  <cols>
    <col min="1" max="1" width="9.7265625" style="4" customWidth="1"/>
    <col min="2" max="10" width="8.81640625" style="4" customWidth="1"/>
    <col min="11" max="11" width="9" style="4" customWidth="1"/>
    <col min="12" max="12" width="9.26953125" style="4" bestFit="1" customWidth="1"/>
    <col min="13" max="13" width="11.453125" style="4" bestFit="1" customWidth="1"/>
    <col min="14" max="252" width="9.1796875" style="4"/>
    <col min="253" max="265" width="10.7265625" style="4" customWidth="1"/>
    <col min="266" max="508" width="9.1796875" style="4"/>
    <col min="509" max="521" width="10.7265625" style="4" customWidth="1"/>
    <col min="522" max="764" width="9.1796875" style="4"/>
    <col min="765" max="777" width="10.7265625" style="4" customWidth="1"/>
    <col min="778" max="1020" width="9.1796875" style="4"/>
    <col min="1021" max="1033" width="10.7265625" style="4" customWidth="1"/>
    <col min="1034" max="1276" width="9.1796875" style="4"/>
    <col min="1277" max="1289" width="10.7265625" style="4" customWidth="1"/>
    <col min="1290" max="1532" width="9.1796875" style="4"/>
    <col min="1533" max="1545" width="10.7265625" style="4" customWidth="1"/>
    <col min="1546" max="1788" width="9.1796875" style="4"/>
    <col min="1789" max="1801" width="10.7265625" style="4" customWidth="1"/>
    <col min="1802" max="2044" width="9.1796875" style="4"/>
    <col min="2045" max="2057" width="10.7265625" style="4" customWidth="1"/>
    <col min="2058" max="2300" width="9.1796875" style="4"/>
    <col min="2301" max="2313" width="10.7265625" style="4" customWidth="1"/>
    <col min="2314" max="2556" width="9.1796875" style="4"/>
    <col min="2557" max="2569" width="10.7265625" style="4" customWidth="1"/>
    <col min="2570" max="2812" width="9.1796875" style="4"/>
    <col min="2813" max="2825" width="10.7265625" style="4" customWidth="1"/>
    <col min="2826" max="3068" width="9.1796875" style="4"/>
    <col min="3069" max="3081" width="10.7265625" style="4" customWidth="1"/>
    <col min="3082" max="3324" width="9.1796875" style="4"/>
    <col min="3325" max="3337" width="10.7265625" style="4" customWidth="1"/>
    <col min="3338" max="3580" width="9.1796875" style="4"/>
    <col min="3581" max="3593" width="10.7265625" style="4" customWidth="1"/>
    <col min="3594" max="3836" width="9.1796875" style="4"/>
    <col min="3837" max="3849" width="10.7265625" style="4" customWidth="1"/>
    <col min="3850" max="4092" width="9.1796875" style="4"/>
    <col min="4093" max="4105" width="10.7265625" style="4" customWidth="1"/>
    <col min="4106" max="4348" width="9.1796875" style="4"/>
    <col min="4349" max="4361" width="10.7265625" style="4" customWidth="1"/>
    <col min="4362" max="4604" width="9.1796875" style="4"/>
    <col min="4605" max="4617" width="10.7265625" style="4" customWidth="1"/>
    <col min="4618" max="4860" width="9.1796875" style="4"/>
    <col min="4861" max="4873" width="10.7265625" style="4" customWidth="1"/>
    <col min="4874" max="5116" width="9.1796875" style="4"/>
    <col min="5117" max="5129" width="10.7265625" style="4" customWidth="1"/>
    <col min="5130" max="5372" width="9.1796875" style="4"/>
    <col min="5373" max="5385" width="10.7265625" style="4" customWidth="1"/>
    <col min="5386" max="5628" width="9.1796875" style="4"/>
    <col min="5629" max="5641" width="10.7265625" style="4" customWidth="1"/>
    <col min="5642" max="5884" width="9.1796875" style="4"/>
    <col min="5885" max="5897" width="10.7265625" style="4" customWidth="1"/>
    <col min="5898" max="6140" width="9.1796875" style="4"/>
    <col min="6141" max="6153" width="10.7265625" style="4" customWidth="1"/>
    <col min="6154" max="6396" width="9.1796875" style="4"/>
    <col min="6397" max="6409" width="10.7265625" style="4" customWidth="1"/>
    <col min="6410" max="6652" width="9.1796875" style="4"/>
    <col min="6653" max="6665" width="10.7265625" style="4" customWidth="1"/>
    <col min="6666" max="6908" width="9.1796875" style="4"/>
    <col min="6909" max="6921" width="10.7265625" style="4" customWidth="1"/>
    <col min="6922" max="7164" width="9.1796875" style="4"/>
    <col min="7165" max="7177" width="10.7265625" style="4" customWidth="1"/>
    <col min="7178" max="7420" width="9.1796875" style="4"/>
    <col min="7421" max="7433" width="10.7265625" style="4" customWidth="1"/>
    <col min="7434" max="7676" width="9.1796875" style="4"/>
    <col min="7677" max="7689" width="10.7265625" style="4" customWidth="1"/>
    <col min="7690" max="7932" width="9.1796875" style="4"/>
    <col min="7933" max="7945" width="10.7265625" style="4" customWidth="1"/>
    <col min="7946" max="8188" width="9.1796875" style="4"/>
    <col min="8189" max="8201" width="10.7265625" style="4" customWidth="1"/>
    <col min="8202" max="8444" width="9.1796875" style="4"/>
    <col min="8445" max="8457" width="10.7265625" style="4" customWidth="1"/>
    <col min="8458" max="8700" width="9.1796875" style="4"/>
    <col min="8701" max="8713" width="10.7265625" style="4" customWidth="1"/>
    <col min="8714" max="8956" width="9.1796875" style="4"/>
    <col min="8957" max="8969" width="10.7265625" style="4" customWidth="1"/>
    <col min="8970" max="9212" width="9.1796875" style="4"/>
    <col min="9213" max="9225" width="10.7265625" style="4" customWidth="1"/>
    <col min="9226" max="9468" width="9.1796875" style="4"/>
    <col min="9469" max="9481" width="10.7265625" style="4" customWidth="1"/>
    <col min="9482" max="9724" width="9.1796875" style="4"/>
    <col min="9725" max="9737" width="10.7265625" style="4" customWidth="1"/>
    <col min="9738" max="9980" width="9.1796875" style="4"/>
    <col min="9981" max="9993" width="10.7265625" style="4" customWidth="1"/>
    <col min="9994" max="10236" width="9.1796875" style="4"/>
    <col min="10237" max="10249" width="10.7265625" style="4" customWidth="1"/>
    <col min="10250" max="10492" width="9.1796875" style="4"/>
    <col min="10493" max="10505" width="10.7265625" style="4" customWidth="1"/>
    <col min="10506" max="10748" width="9.1796875" style="4"/>
    <col min="10749" max="10761" width="10.7265625" style="4" customWidth="1"/>
    <col min="10762" max="11004" width="9.1796875" style="4"/>
    <col min="11005" max="11017" width="10.7265625" style="4" customWidth="1"/>
    <col min="11018" max="11260" width="9.1796875" style="4"/>
    <col min="11261" max="11273" width="10.7265625" style="4" customWidth="1"/>
    <col min="11274" max="11516" width="9.1796875" style="4"/>
    <col min="11517" max="11529" width="10.7265625" style="4" customWidth="1"/>
    <col min="11530" max="11772" width="9.1796875" style="4"/>
    <col min="11773" max="11785" width="10.7265625" style="4" customWidth="1"/>
    <col min="11786" max="12028" width="9.1796875" style="4"/>
    <col min="12029" max="12041" width="10.7265625" style="4" customWidth="1"/>
    <col min="12042" max="12284" width="9.1796875" style="4"/>
    <col min="12285" max="12297" width="10.7265625" style="4" customWidth="1"/>
    <col min="12298" max="12540" width="9.1796875" style="4"/>
    <col min="12541" max="12553" width="10.7265625" style="4" customWidth="1"/>
    <col min="12554" max="12796" width="9.1796875" style="4"/>
    <col min="12797" max="12809" width="10.7265625" style="4" customWidth="1"/>
    <col min="12810" max="13052" width="9.1796875" style="4"/>
    <col min="13053" max="13065" width="10.7265625" style="4" customWidth="1"/>
    <col min="13066" max="13308" width="9.1796875" style="4"/>
    <col min="13309" max="13321" width="10.7265625" style="4" customWidth="1"/>
    <col min="13322" max="13564" width="9.1796875" style="4"/>
    <col min="13565" max="13577" width="10.7265625" style="4" customWidth="1"/>
    <col min="13578" max="13820" width="9.1796875" style="4"/>
    <col min="13821" max="13833" width="10.7265625" style="4" customWidth="1"/>
    <col min="13834" max="14076" width="9.1796875" style="4"/>
    <col min="14077" max="14089" width="10.7265625" style="4" customWidth="1"/>
    <col min="14090" max="14332" width="9.1796875" style="4"/>
    <col min="14333" max="14345" width="10.7265625" style="4" customWidth="1"/>
    <col min="14346" max="14588" width="9.1796875" style="4"/>
    <col min="14589" max="14601" width="10.7265625" style="4" customWidth="1"/>
    <col min="14602" max="14844" width="9.1796875" style="4"/>
    <col min="14845" max="14857" width="10.7265625" style="4" customWidth="1"/>
    <col min="14858" max="15100" width="9.1796875" style="4"/>
    <col min="15101" max="15113" width="10.7265625" style="4" customWidth="1"/>
    <col min="15114" max="15356" width="9.1796875" style="4"/>
    <col min="15357" max="15369" width="10.7265625" style="4" customWidth="1"/>
    <col min="15370" max="15612" width="9.1796875" style="4"/>
    <col min="15613" max="15625" width="10.7265625" style="4" customWidth="1"/>
    <col min="15626" max="15868" width="9.1796875" style="4"/>
    <col min="15869" max="15881" width="10.7265625" style="4" customWidth="1"/>
    <col min="15882" max="16124" width="9.1796875" style="4"/>
    <col min="16125" max="16137" width="10.7265625" style="4" customWidth="1"/>
    <col min="16138" max="16384" width="9.1796875" style="4"/>
  </cols>
  <sheetData>
    <row r="1" spans="1:15" ht="18">
      <c r="A1" s="416" t="s">
        <v>286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</row>
    <row r="2" spans="1:15" ht="6" customHeight="1">
      <c r="A2" s="489"/>
      <c r="B2" s="490"/>
      <c r="C2" s="490"/>
      <c r="D2" s="490"/>
      <c r="E2" s="490"/>
      <c r="F2" s="490"/>
      <c r="G2" s="490"/>
      <c r="H2" s="490"/>
      <c r="I2" s="490"/>
      <c r="J2" s="190"/>
      <c r="K2" s="189"/>
    </row>
    <row r="3" spans="1:15" ht="20.149999999999999" customHeight="1">
      <c r="A3" s="311">
        <f>'3.1'!A4</f>
        <v>2025</v>
      </c>
      <c r="B3" s="422" t="s">
        <v>262</v>
      </c>
      <c r="C3" s="425"/>
      <c r="D3" s="425"/>
      <c r="E3" s="425"/>
      <c r="F3" s="424"/>
      <c r="G3" s="422" t="s">
        <v>263</v>
      </c>
      <c r="H3" s="425"/>
      <c r="I3" s="425"/>
      <c r="J3" s="425"/>
      <c r="K3" s="425"/>
    </row>
    <row r="4" spans="1:15" ht="67.5" customHeight="1">
      <c r="A4" s="312"/>
      <c r="B4" s="313" t="s">
        <v>307</v>
      </c>
      <c r="C4" s="215" t="s">
        <v>86</v>
      </c>
      <c r="D4" s="215" t="s">
        <v>316</v>
      </c>
      <c r="E4" s="215" t="s">
        <v>81</v>
      </c>
      <c r="F4" s="314" t="s">
        <v>80</v>
      </c>
      <c r="G4" s="313" t="s">
        <v>307</v>
      </c>
      <c r="H4" s="215" t="s">
        <v>86</v>
      </c>
      <c r="I4" s="215" t="s">
        <v>316</v>
      </c>
      <c r="J4" s="215" t="s">
        <v>81</v>
      </c>
      <c r="K4" s="215" t="s">
        <v>80</v>
      </c>
    </row>
    <row r="5" spans="1:15" ht="18" customHeight="1">
      <c r="A5" s="159" t="s">
        <v>157</v>
      </c>
      <c r="B5" s="221">
        <v>121014.50490460399</v>
      </c>
      <c r="C5" s="216">
        <v>839935.16501365206</v>
      </c>
      <c r="D5" s="217">
        <v>41244.190001000003</v>
      </c>
      <c r="E5" s="217">
        <v>41929.285950000005</v>
      </c>
      <c r="F5" s="223">
        <v>1044123.1458692561</v>
      </c>
      <c r="G5" s="309">
        <v>1319398.3617030489</v>
      </c>
      <c r="H5" s="217">
        <v>9128071.6472999994</v>
      </c>
      <c r="I5" s="217">
        <v>449486.29685500002</v>
      </c>
      <c r="J5" s="217">
        <v>456802.89414699998</v>
      </c>
      <c r="K5" s="217">
        <v>11353759.200005049</v>
      </c>
      <c r="L5" s="48"/>
      <c r="M5" s="49"/>
      <c r="N5" s="49"/>
      <c r="O5" s="49"/>
    </row>
    <row r="6" spans="1:15" ht="18" customHeight="1">
      <c r="A6" s="159" t="s">
        <v>158</v>
      </c>
      <c r="B6" s="221">
        <v>111187.657306514</v>
      </c>
      <c r="C6" s="217">
        <v>772580.60641547001</v>
      </c>
      <c r="D6" s="217">
        <v>37705.031000000003</v>
      </c>
      <c r="E6" s="217">
        <v>40464.472119999991</v>
      </c>
      <c r="F6" s="223">
        <v>961937.76684198389</v>
      </c>
      <c r="G6" s="309">
        <v>1210666.0906788108</v>
      </c>
      <c r="H6" s="217">
        <v>8377379.330430001</v>
      </c>
      <c r="I6" s="217">
        <v>410008.61575699999</v>
      </c>
      <c r="J6" s="217">
        <v>441570.57712799998</v>
      </c>
      <c r="K6" s="217">
        <v>10439624.613993812</v>
      </c>
      <c r="L6" s="50"/>
      <c r="M6" s="49"/>
      <c r="N6" s="49"/>
      <c r="O6" s="49"/>
    </row>
    <row r="7" spans="1:15" ht="18" customHeight="1">
      <c r="A7" s="162" t="s">
        <v>159</v>
      </c>
      <c r="B7" s="222">
        <v>82184.998163252996</v>
      </c>
      <c r="C7" s="220">
        <v>600997.76266341493</v>
      </c>
      <c r="D7" s="220">
        <v>29971.272999000001</v>
      </c>
      <c r="E7" s="220">
        <v>37841.401009999994</v>
      </c>
      <c r="F7" s="224">
        <v>750995.43483566795</v>
      </c>
      <c r="G7" s="310">
        <v>899307.62059006898</v>
      </c>
      <c r="H7" s="220">
        <v>6549657.5211099992</v>
      </c>
      <c r="I7" s="220">
        <v>328374.59953800001</v>
      </c>
      <c r="J7" s="220">
        <v>414264.41893400002</v>
      </c>
      <c r="K7" s="220">
        <v>8191604.1601720685</v>
      </c>
      <c r="L7" s="51"/>
      <c r="M7" s="49"/>
      <c r="N7" s="49"/>
      <c r="O7" s="49"/>
    </row>
    <row r="8" spans="1:15" ht="18" customHeight="1">
      <c r="A8" s="159" t="s">
        <v>160</v>
      </c>
      <c r="B8" s="221">
        <v>47676.063473109993</v>
      </c>
      <c r="C8" s="217">
        <v>394282.71264928294</v>
      </c>
      <c r="D8" s="217">
        <v>19917.503999999997</v>
      </c>
      <c r="E8" s="217">
        <v>41021.904009999998</v>
      </c>
      <c r="F8" s="223">
        <v>502898.18413239293</v>
      </c>
      <c r="G8" s="309">
        <v>522248.45215999498</v>
      </c>
      <c r="H8" s="217">
        <v>4319374.5014999993</v>
      </c>
      <c r="I8" s="217">
        <v>218776.37962699996</v>
      </c>
      <c r="J8" s="217">
        <v>448918.38632499997</v>
      </c>
      <c r="K8" s="217">
        <v>5509317.719611994</v>
      </c>
      <c r="L8" s="50"/>
      <c r="M8" s="49"/>
      <c r="N8" s="49"/>
      <c r="O8" s="49"/>
    </row>
    <row r="9" spans="1:15" ht="18" customHeight="1">
      <c r="A9" s="159" t="s">
        <v>161</v>
      </c>
      <c r="B9" s="221">
        <v>35214.873700308999</v>
      </c>
      <c r="C9" s="217">
        <v>328063.92360386596</v>
      </c>
      <c r="D9" s="217">
        <v>16147.642</v>
      </c>
      <c r="E9" s="217">
        <v>35217.449009999997</v>
      </c>
      <c r="F9" s="223">
        <v>414643.88831417495</v>
      </c>
      <c r="G9" s="309">
        <v>385969.22619399201</v>
      </c>
      <c r="H9" s="217">
        <v>3600699.9432600001</v>
      </c>
      <c r="I9" s="217">
        <v>177907.95695999998</v>
      </c>
      <c r="J9" s="217">
        <v>386155.47469199996</v>
      </c>
      <c r="K9" s="217">
        <v>4550732.6011059918</v>
      </c>
      <c r="L9" s="50"/>
      <c r="M9" s="49"/>
      <c r="N9" s="49"/>
      <c r="O9" s="49"/>
    </row>
    <row r="10" spans="1:15" ht="18" customHeight="1">
      <c r="A10" s="162" t="s">
        <v>162</v>
      </c>
      <c r="B10" s="222">
        <v>19753.05161626</v>
      </c>
      <c r="C10" s="220">
        <v>244079.448667708</v>
      </c>
      <c r="D10" s="220">
        <v>10629.701000000003</v>
      </c>
      <c r="E10" s="220">
        <v>24947.001100000001</v>
      </c>
      <c r="F10" s="224">
        <v>299409.20238396799</v>
      </c>
      <c r="G10" s="310">
        <v>216060.36682600103</v>
      </c>
      <c r="H10" s="220">
        <v>2673884.4112299997</v>
      </c>
      <c r="I10" s="220">
        <v>116537.94613400001</v>
      </c>
      <c r="J10" s="220">
        <v>272628.45528399991</v>
      </c>
      <c r="K10" s="220">
        <v>3279111.1794740008</v>
      </c>
      <c r="L10" s="50"/>
      <c r="M10" s="49"/>
      <c r="N10" s="49"/>
      <c r="O10" s="49"/>
    </row>
    <row r="11" spans="1:15" ht="18" customHeight="1">
      <c r="A11" s="159" t="s">
        <v>163</v>
      </c>
      <c r="B11" s="221">
        <v>18171.521880729</v>
      </c>
      <c r="C11" s="217">
        <v>231294.20180670902</v>
      </c>
      <c r="D11" s="217">
        <v>10883.341001000001</v>
      </c>
      <c r="E11" s="217">
        <v>34545.983</v>
      </c>
      <c r="F11" s="223">
        <v>294895.04768843803</v>
      </c>
      <c r="G11" s="309">
        <v>199196.299529004</v>
      </c>
      <c r="H11" s="217">
        <v>2541158.1353500001</v>
      </c>
      <c r="I11" s="217">
        <v>119752.166843</v>
      </c>
      <c r="J11" s="217">
        <v>379851.60173200001</v>
      </c>
      <c r="K11" s="217">
        <v>3239958.2034540037</v>
      </c>
      <c r="L11" s="50"/>
      <c r="M11" s="49"/>
      <c r="N11" s="49"/>
      <c r="O11" s="49"/>
    </row>
    <row r="12" spans="1:15" ht="18" customHeight="1">
      <c r="A12" s="159" t="s">
        <v>164</v>
      </c>
      <c r="B12" s="221">
        <v>18339.85515444</v>
      </c>
      <c r="C12" s="217">
        <v>226198.08793594799</v>
      </c>
      <c r="D12" s="217">
        <v>12372.052999000001</v>
      </c>
      <c r="E12" s="217">
        <v>11507.159199000003</v>
      </c>
      <c r="F12" s="223">
        <v>268417.15528838802</v>
      </c>
      <c r="G12" s="309">
        <v>202332.16865399698</v>
      </c>
      <c r="H12" s="217">
        <v>2492161.0205000001</v>
      </c>
      <c r="I12" s="217">
        <v>136546.44790200001</v>
      </c>
      <c r="J12" s="217">
        <v>127074.866697</v>
      </c>
      <c r="K12" s="217">
        <v>2958114.5037529971</v>
      </c>
      <c r="L12" s="50"/>
      <c r="M12" s="49"/>
      <c r="N12" s="49"/>
      <c r="O12" s="49"/>
    </row>
    <row r="13" spans="1:15" ht="18" customHeight="1">
      <c r="A13" s="162" t="s">
        <v>165</v>
      </c>
      <c r="B13" s="222">
        <v>24769.312184121001</v>
      </c>
      <c r="C13" s="220">
        <v>280772.28653695399</v>
      </c>
      <c r="D13" s="220">
        <v>13275.040999999999</v>
      </c>
      <c r="E13" s="220">
        <v>1448.6958999999993</v>
      </c>
      <c r="F13" s="224">
        <v>320265.33562107501</v>
      </c>
      <c r="G13" s="310">
        <v>274244.780351008</v>
      </c>
      <c r="H13" s="220">
        <v>3104171.1663500001</v>
      </c>
      <c r="I13" s="220">
        <v>146854.83670899997</v>
      </c>
      <c r="J13" s="220">
        <v>15918.27927299998</v>
      </c>
      <c r="K13" s="220">
        <v>3541189.0626830081</v>
      </c>
      <c r="L13" s="50"/>
      <c r="M13" s="49"/>
      <c r="N13" s="49"/>
      <c r="O13" s="49"/>
    </row>
    <row r="14" spans="1:15" ht="18" customHeight="1">
      <c r="A14" s="159" t="s">
        <v>166</v>
      </c>
      <c r="B14" s="221">
        <v>61319.272530718008</v>
      </c>
      <c r="C14" s="217">
        <v>516789.69405630202</v>
      </c>
      <c r="D14" s="217">
        <v>24900.195000000003</v>
      </c>
      <c r="E14" s="217">
        <v>2480.5563000000002</v>
      </c>
      <c r="F14" s="223">
        <v>605489.71788702009</v>
      </c>
      <c r="G14" s="309">
        <v>678915.37260015297</v>
      </c>
      <c r="H14" s="217">
        <v>5709940.3448299998</v>
      </c>
      <c r="I14" s="217">
        <v>276110.35694299999</v>
      </c>
      <c r="J14" s="217">
        <v>27021.907901999981</v>
      </c>
      <c r="K14" s="217">
        <v>6691987.9822751526</v>
      </c>
      <c r="L14" s="50"/>
      <c r="M14" s="49"/>
      <c r="N14" s="49"/>
      <c r="O14" s="49"/>
    </row>
    <row r="15" spans="1:15" ht="18" customHeight="1">
      <c r="A15" s="159" t="s">
        <v>167</v>
      </c>
      <c r="B15" s="221">
        <v>94457.477201782996</v>
      </c>
      <c r="C15" s="217">
        <v>675494.74195459008</v>
      </c>
      <c r="D15" s="217">
        <v>33463.383000999995</v>
      </c>
      <c r="E15" s="217">
        <v>2655.0845809999978</v>
      </c>
      <c r="F15" s="223">
        <v>806070.68673837313</v>
      </c>
      <c r="G15" s="309">
        <v>1041252.0645150681</v>
      </c>
      <c r="H15" s="217">
        <v>7436145.2989100004</v>
      </c>
      <c r="I15" s="217">
        <v>368836.12430000002</v>
      </c>
      <c r="J15" s="217">
        <v>29042.291389999984</v>
      </c>
      <c r="K15" s="217">
        <v>8875275.7791150678</v>
      </c>
      <c r="L15" s="50"/>
      <c r="M15" s="49"/>
      <c r="N15" s="49"/>
      <c r="O15" s="49"/>
    </row>
    <row r="16" spans="1:15" ht="18" customHeight="1">
      <c r="A16" s="162" t="s">
        <v>168</v>
      </c>
      <c r="B16" s="222">
        <v>111882.775396571</v>
      </c>
      <c r="C16" s="220">
        <v>752683.77542020404</v>
      </c>
      <c r="D16" s="220">
        <v>36436.936001000002</v>
      </c>
      <c r="E16" s="220">
        <v>37440.535809000001</v>
      </c>
      <c r="F16" s="224">
        <v>938444.02262677508</v>
      </c>
      <c r="G16" s="310">
        <v>1230711.0885388509</v>
      </c>
      <c r="H16" s="220">
        <v>8262379.30485</v>
      </c>
      <c r="I16" s="220">
        <v>400870.08614600002</v>
      </c>
      <c r="J16" s="220">
        <v>411289.2483090001</v>
      </c>
      <c r="K16" s="220">
        <v>10305249.727843851</v>
      </c>
      <c r="L16" s="50"/>
      <c r="M16" s="49"/>
      <c r="N16" s="49"/>
      <c r="O16" s="49"/>
    </row>
    <row r="17" spans="1:11" ht="18" customHeight="1">
      <c r="A17" s="159" t="s">
        <v>47</v>
      </c>
      <c r="B17" s="221">
        <f>SUM(B5:B7)</f>
        <v>314387.16037437099</v>
      </c>
      <c r="C17" s="216">
        <f>SUM(C5:C7)</f>
        <v>2213513.5340925371</v>
      </c>
      <c r="D17" s="216">
        <f t="shared" ref="D17:J17" si="0">SUM(D5:D7)</f>
        <v>108920.49400000001</v>
      </c>
      <c r="E17" s="216">
        <f t="shared" si="0"/>
        <v>120235.15907999998</v>
      </c>
      <c r="F17" s="225">
        <f t="shared" si="0"/>
        <v>2757056.3475469081</v>
      </c>
      <c r="G17" s="221">
        <f t="shared" si="0"/>
        <v>3429372.0729719284</v>
      </c>
      <c r="H17" s="216">
        <f t="shared" si="0"/>
        <v>24055108.498839997</v>
      </c>
      <c r="I17" s="216">
        <f t="shared" si="0"/>
        <v>1187869.5121500001</v>
      </c>
      <c r="J17" s="216">
        <f t="shared" si="0"/>
        <v>1312637.8902089999</v>
      </c>
      <c r="K17" s="216">
        <f>SUM(K5:K7)</f>
        <v>29984987.974170931</v>
      </c>
    </row>
    <row r="18" spans="1:11" ht="18" customHeight="1">
      <c r="A18" s="159" t="s">
        <v>55</v>
      </c>
      <c r="B18" s="221">
        <f>SUM(B8:B10)</f>
        <v>102643.98878967899</v>
      </c>
      <c r="C18" s="216">
        <f>SUM(C8:C10)</f>
        <v>966426.08492085687</v>
      </c>
      <c r="D18" s="216">
        <f t="shared" ref="D18:J18" si="1">SUM(D8:D10)</f>
        <v>46694.846999999994</v>
      </c>
      <c r="E18" s="216">
        <f t="shared" si="1"/>
        <v>101186.35412</v>
      </c>
      <c r="F18" s="225">
        <f t="shared" si="1"/>
        <v>1216951.274830536</v>
      </c>
      <c r="G18" s="221">
        <f t="shared" si="1"/>
        <v>1124278.045179988</v>
      </c>
      <c r="H18" s="216">
        <f t="shared" si="1"/>
        <v>10593958.85599</v>
      </c>
      <c r="I18" s="216">
        <f t="shared" si="1"/>
        <v>513222.28272099997</v>
      </c>
      <c r="J18" s="216">
        <f t="shared" si="1"/>
        <v>1107702.3163009998</v>
      </c>
      <c r="K18" s="216">
        <f>SUM(K8:K10)</f>
        <v>13339161.500191987</v>
      </c>
    </row>
    <row r="19" spans="1:11" ht="18" customHeight="1">
      <c r="A19" s="159" t="s">
        <v>62</v>
      </c>
      <c r="B19" s="221">
        <f>SUM(B11:B13)</f>
        <v>61280.689219290005</v>
      </c>
      <c r="C19" s="216">
        <f>SUM(C11:C13)</f>
        <v>738264.57627961098</v>
      </c>
      <c r="D19" s="216">
        <f t="shared" ref="D19:J19" si="2">SUM(D11:D13)</f>
        <v>36530.434999999998</v>
      </c>
      <c r="E19" s="216">
        <f t="shared" si="2"/>
        <v>47501.838099000001</v>
      </c>
      <c r="F19" s="225">
        <f t="shared" si="2"/>
        <v>883577.53859790112</v>
      </c>
      <c r="G19" s="221">
        <f t="shared" si="2"/>
        <v>675773.24853400898</v>
      </c>
      <c r="H19" s="216">
        <f t="shared" si="2"/>
        <v>8137490.3222000003</v>
      </c>
      <c r="I19" s="216">
        <f t="shared" si="2"/>
        <v>403153.45145399997</v>
      </c>
      <c r="J19" s="216">
        <f t="shared" si="2"/>
        <v>522844.74770199996</v>
      </c>
      <c r="K19" s="216">
        <f>SUM(K11:K13)</f>
        <v>9739261.7698900085</v>
      </c>
    </row>
    <row r="20" spans="1:11" ht="18" customHeight="1">
      <c r="A20" s="162" t="s">
        <v>56</v>
      </c>
      <c r="B20" s="222">
        <f>SUM(B14:B16)</f>
        <v>267659.52512907202</v>
      </c>
      <c r="C20" s="219">
        <f>SUM(C14:C16)</f>
        <v>1944968.2114310961</v>
      </c>
      <c r="D20" s="219">
        <f t="shared" ref="D20:J20" si="3">SUM(D14:D16)</f>
        <v>94800.514002000011</v>
      </c>
      <c r="E20" s="219">
        <f t="shared" si="3"/>
        <v>42576.17669</v>
      </c>
      <c r="F20" s="376">
        <f t="shared" si="3"/>
        <v>2350004.4272521683</v>
      </c>
      <c r="G20" s="222">
        <f t="shared" si="3"/>
        <v>2950878.5256540719</v>
      </c>
      <c r="H20" s="219">
        <f t="shared" si="3"/>
        <v>21408464.948589999</v>
      </c>
      <c r="I20" s="219">
        <f t="shared" si="3"/>
        <v>1045816.567389</v>
      </c>
      <c r="J20" s="219">
        <f t="shared" si="3"/>
        <v>467353.44760100008</v>
      </c>
      <c r="K20" s="219">
        <f>SUM(K14:K16)</f>
        <v>25872513.489234071</v>
      </c>
    </row>
    <row r="21" spans="1:11" ht="18" customHeight="1">
      <c r="A21" s="159" t="s">
        <v>57</v>
      </c>
      <c r="B21" s="221">
        <f>SUM(B5:B10)</f>
        <v>417031.14916405</v>
      </c>
      <c r="C21" s="216">
        <f>SUM(C5:C10)</f>
        <v>3179939.6190133938</v>
      </c>
      <c r="D21" s="216">
        <f t="shared" ref="D21:J21" si="4">SUM(D5:D10)</f>
        <v>155615.34100000001</v>
      </c>
      <c r="E21" s="216">
        <f t="shared" si="4"/>
        <v>221421.51319999999</v>
      </c>
      <c r="F21" s="225">
        <f t="shared" si="4"/>
        <v>3974007.6223774441</v>
      </c>
      <c r="G21" s="221">
        <f t="shared" si="4"/>
        <v>4553650.1181519162</v>
      </c>
      <c r="H21" s="216">
        <f t="shared" si="4"/>
        <v>34649067.354829997</v>
      </c>
      <c r="I21" s="216">
        <f t="shared" si="4"/>
        <v>1701091.7948710001</v>
      </c>
      <c r="J21" s="216">
        <f t="shared" si="4"/>
        <v>2420340.2065099999</v>
      </c>
      <c r="K21" s="216">
        <f>SUM(K5:K10)</f>
        <v>43324149.474362917</v>
      </c>
    </row>
    <row r="22" spans="1:11" ht="18" customHeight="1">
      <c r="A22" s="162" t="s">
        <v>58</v>
      </c>
      <c r="B22" s="222">
        <f>SUM(B11:B16)</f>
        <v>328940.21434836206</v>
      </c>
      <c r="C22" s="219">
        <f>SUM(C11:C16)</f>
        <v>2683232.7877107067</v>
      </c>
      <c r="D22" s="219">
        <f t="shared" ref="D22:J22" si="5">SUM(D11:D16)</f>
        <v>131330.94900200001</v>
      </c>
      <c r="E22" s="219">
        <f t="shared" si="5"/>
        <v>90078.014788999993</v>
      </c>
      <c r="F22" s="376">
        <f t="shared" si="5"/>
        <v>3233581.9658500692</v>
      </c>
      <c r="G22" s="222">
        <f t="shared" si="5"/>
        <v>3626651.7741880808</v>
      </c>
      <c r="H22" s="219">
        <f t="shared" si="5"/>
        <v>29545955.27079</v>
      </c>
      <c r="I22" s="219">
        <f t="shared" si="5"/>
        <v>1448970.0188430001</v>
      </c>
      <c r="J22" s="219">
        <f t="shared" si="5"/>
        <v>990198.19530300004</v>
      </c>
      <c r="K22" s="219">
        <f>SUM(K11:K16)</f>
        <v>35611775.259124078</v>
      </c>
    </row>
    <row r="23" spans="1:11" ht="18" customHeight="1">
      <c r="A23" s="198" t="s">
        <v>169</v>
      </c>
      <c r="B23" s="377">
        <f>SUM(B5:B16)</f>
        <v>745971.36351241206</v>
      </c>
      <c r="C23" s="378">
        <f>SUM(C5:C16)</f>
        <v>5863172.4067241009</v>
      </c>
      <c r="D23" s="378">
        <f t="shared" ref="D23:J23" si="6">SUM(D5:D16)</f>
        <v>286946.29000199999</v>
      </c>
      <c r="E23" s="378">
        <f t="shared" si="6"/>
        <v>311499.52798899997</v>
      </c>
      <c r="F23" s="379">
        <f t="shared" si="6"/>
        <v>7207589.5882275123</v>
      </c>
      <c r="G23" s="377">
        <f t="shared" si="6"/>
        <v>8180301.892339997</v>
      </c>
      <c r="H23" s="378">
        <f t="shared" si="6"/>
        <v>64195022.625619993</v>
      </c>
      <c r="I23" s="378">
        <f t="shared" si="6"/>
        <v>3150061.8137140004</v>
      </c>
      <c r="J23" s="378">
        <f t="shared" si="6"/>
        <v>3410538.4018129995</v>
      </c>
      <c r="K23" s="378">
        <f>SUM(K5:K16)</f>
        <v>78935924.733486995</v>
      </c>
    </row>
    <row r="25" spans="1:11" ht="12" customHeight="1">
      <c r="A25" s="488" t="s">
        <v>264</v>
      </c>
      <c r="B25" s="488"/>
      <c r="C25" s="488"/>
      <c r="D25" s="488"/>
      <c r="E25" s="488"/>
      <c r="F25" s="488"/>
      <c r="G25" s="488"/>
      <c r="H25" s="488"/>
      <c r="I25" s="488"/>
      <c r="J25" s="488"/>
      <c r="K25" s="488"/>
    </row>
    <row r="26" spans="1:11" ht="12" customHeight="1">
      <c r="E26" s="55"/>
      <c r="F26" s="55"/>
      <c r="G26" s="55"/>
      <c r="H26" s="55"/>
    </row>
    <row r="27" spans="1:11" ht="12" customHeight="1">
      <c r="E27" s="55"/>
      <c r="F27" s="55"/>
      <c r="G27" s="55"/>
    </row>
    <row r="28" spans="1:11" ht="12" customHeight="1">
      <c r="E28" s="55"/>
      <c r="F28" s="55"/>
      <c r="G28" s="55"/>
    </row>
    <row r="29" spans="1:11" ht="12" customHeight="1">
      <c r="E29" s="55"/>
      <c r="F29" s="55"/>
      <c r="G29" s="55"/>
    </row>
    <row r="30" spans="1:11" ht="12" customHeight="1">
      <c r="E30" s="55" t="str">
        <f>B4</f>
        <v>PPD</v>
      </c>
      <c r="F30" s="55" t="str">
        <f t="shared" ref="F30:H30" si="7">C4</f>
        <v xml:space="preserve"> GasNet</v>
      </c>
      <c r="G30" s="55" t="str">
        <f t="shared" si="7"/>
        <v xml:space="preserve"> GasD</v>
      </c>
      <c r="H30" s="55" t="str">
        <f t="shared" si="7"/>
        <v xml:space="preserve"> Ostatní společnosti</v>
      </c>
    </row>
    <row r="31" spans="1:11" ht="12" customHeight="1">
      <c r="D31" s="4" t="str">
        <f>A17</f>
        <v>I. čtvrtletí</v>
      </c>
      <c r="E31" s="4">
        <f t="shared" ref="E31:H34" si="8">B17</f>
        <v>314387.16037437099</v>
      </c>
      <c r="F31" s="4">
        <f t="shared" si="8"/>
        <v>2213513.5340925371</v>
      </c>
      <c r="G31" s="4">
        <f t="shared" si="8"/>
        <v>108920.49400000001</v>
      </c>
      <c r="H31" s="4">
        <f t="shared" si="8"/>
        <v>120235.15907999998</v>
      </c>
    </row>
    <row r="32" spans="1:11" ht="12" customHeight="1">
      <c r="D32" s="4" t="str">
        <f t="shared" ref="D32:D34" si="9">A18</f>
        <v>II. čtvrtletí</v>
      </c>
      <c r="E32" s="4">
        <f t="shared" si="8"/>
        <v>102643.98878967899</v>
      </c>
      <c r="F32" s="4">
        <f t="shared" si="8"/>
        <v>966426.08492085687</v>
      </c>
      <c r="G32" s="4">
        <f t="shared" si="8"/>
        <v>46694.846999999994</v>
      </c>
      <c r="H32" s="4">
        <f t="shared" si="8"/>
        <v>101186.35412</v>
      </c>
    </row>
    <row r="33" spans="4:8" ht="12" customHeight="1">
      <c r="D33" s="4" t="str">
        <f t="shared" si="9"/>
        <v>III. čtvrtletí</v>
      </c>
      <c r="E33" s="4">
        <f t="shared" si="8"/>
        <v>61280.689219290005</v>
      </c>
      <c r="F33" s="4">
        <f t="shared" si="8"/>
        <v>738264.57627961098</v>
      </c>
      <c r="G33" s="4">
        <f t="shared" si="8"/>
        <v>36530.434999999998</v>
      </c>
      <c r="H33" s="4">
        <f t="shared" si="8"/>
        <v>47501.838099000001</v>
      </c>
    </row>
    <row r="34" spans="4:8" ht="12" customHeight="1">
      <c r="D34" s="4" t="str">
        <f t="shared" si="9"/>
        <v>IV. čtvrtletí</v>
      </c>
      <c r="E34" s="4">
        <f t="shared" si="8"/>
        <v>267659.52512907202</v>
      </c>
      <c r="F34" s="4">
        <f t="shared" si="8"/>
        <v>1944968.2114310961</v>
      </c>
      <c r="G34" s="4">
        <f t="shared" si="8"/>
        <v>94800.514002000011</v>
      </c>
      <c r="H34" s="4">
        <f t="shared" si="8"/>
        <v>42576.17669</v>
      </c>
    </row>
    <row r="35" spans="4:8" ht="12" customHeight="1">
      <c r="E35" s="55"/>
      <c r="F35" s="55"/>
      <c r="G35" s="55"/>
    </row>
    <row r="36" spans="4:8" ht="12" customHeight="1">
      <c r="E36" s="55"/>
      <c r="F36" s="55"/>
      <c r="G36" s="55"/>
    </row>
    <row r="37" spans="4:8" ht="12" customHeight="1">
      <c r="E37" s="55"/>
      <c r="F37" s="55"/>
      <c r="G37" s="55"/>
    </row>
    <row r="38" spans="4:8" ht="12" customHeight="1"/>
    <row r="39" spans="4:8" ht="12" customHeight="1"/>
    <row r="40" spans="4:8" ht="12" customHeight="1"/>
    <row r="41" spans="4:8" ht="12" customHeight="1"/>
    <row r="42" spans="4:8" ht="12" customHeight="1"/>
  </sheetData>
  <mergeCells count="5">
    <mergeCell ref="A25:K25"/>
    <mergeCell ref="A1:K1"/>
    <mergeCell ref="A2:I2"/>
    <mergeCell ref="B3:F3"/>
    <mergeCell ref="G3:K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B17:K23" formulaRange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23"/>
  <dimension ref="A1:AM120"/>
  <sheetViews>
    <sheetView showGridLines="0" topLeftCell="A16" zoomScaleNormal="100" zoomScaleSheetLayoutView="100" workbookViewId="0">
      <selection activeCell="G1" sqref="G1"/>
    </sheetView>
  </sheetViews>
  <sheetFormatPr defaultColWidth="9.1796875" defaultRowHeight="12.5"/>
  <cols>
    <col min="1" max="1" width="9.453125" style="67" customWidth="1"/>
    <col min="2" max="2" width="3.81640625" style="67" customWidth="1"/>
    <col min="3" max="11" width="9.54296875" style="67" customWidth="1"/>
    <col min="12" max="13" width="9.1796875" style="67"/>
    <col min="14" max="14" width="11.1796875" style="67" customWidth="1"/>
    <col min="15" max="16384" width="9.1796875" style="67"/>
  </cols>
  <sheetData>
    <row r="1" spans="1:39" ht="20">
      <c r="A1" s="47" t="s">
        <v>276</v>
      </c>
    </row>
    <row r="2" spans="1:39" s="91" customFormat="1" ht="18">
      <c r="A2" s="471" t="s">
        <v>287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</row>
    <row r="3" spans="1:39" ht="6" customHeight="1">
      <c r="A3" s="491"/>
      <c r="B3" s="491"/>
      <c r="C3" s="491"/>
      <c r="D3" s="275"/>
      <c r="E3" s="275"/>
      <c r="F3" s="276"/>
      <c r="G3" s="277"/>
      <c r="H3" s="277"/>
      <c r="I3" s="277"/>
    </row>
    <row r="4" spans="1:39" ht="13" customHeight="1">
      <c r="A4" s="463" t="s">
        <v>34</v>
      </c>
      <c r="B4" s="463"/>
      <c r="C4" s="463"/>
      <c r="D4" s="457">
        <f>'3.1'!A4</f>
        <v>2025</v>
      </c>
      <c r="E4" s="328"/>
      <c r="F4" s="317"/>
      <c r="G4" s="317"/>
      <c r="H4" s="317"/>
      <c r="I4" s="457">
        <f>D4-1</f>
        <v>2024</v>
      </c>
      <c r="J4" s="458"/>
      <c r="K4" s="458"/>
    </row>
    <row r="5" spans="1:39" ht="25" customHeight="1">
      <c r="A5" s="133"/>
      <c r="B5" s="133"/>
      <c r="C5" s="133"/>
      <c r="D5" s="459"/>
      <c r="E5" s="329"/>
      <c r="F5" s="330"/>
      <c r="G5" s="330"/>
      <c r="H5" s="331"/>
      <c r="I5" s="459"/>
      <c r="J5" s="460"/>
      <c r="K5" s="460"/>
    </row>
    <row r="6" spans="1:39" ht="25" customHeight="1">
      <c r="A6" s="279"/>
      <c r="B6" s="253"/>
      <c r="C6" s="280"/>
      <c r="D6" s="338" t="s">
        <v>156</v>
      </c>
      <c r="E6" s="455" t="s">
        <v>59</v>
      </c>
      <c r="F6" s="455"/>
      <c r="G6" s="456" t="s">
        <v>32</v>
      </c>
      <c r="H6" s="456" t="s">
        <v>256</v>
      </c>
      <c r="I6" s="453" t="s">
        <v>59</v>
      </c>
      <c r="J6" s="454"/>
      <c r="K6" s="456" t="s">
        <v>32</v>
      </c>
    </row>
    <row r="7" spans="1:39" ht="25" customHeight="1">
      <c r="A7" s="279"/>
      <c r="B7" s="281"/>
      <c r="D7" s="339"/>
      <c r="E7" s="455"/>
      <c r="F7" s="455"/>
      <c r="G7" s="456"/>
      <c r="H7" s="456"/>
      <c r="I7" s="453"/>
      <c r="J7" s="454"/>
      <c r="K7" s="456"/>
    </row>
    <row r="8" spans="1:39" ht="15" customHeight="1">
      <c r="A8" s="464" t="s">
        <v>155</v>
      </c>
      <c r="B8" s="464"/>
      <c r="C8" s="298" t="s">
        <v>180</v>
      </c>
      <c r="D8" s="318"/>
      <c r="E8" s="201" t="s">
        <v>247</v>
      </c>
      <c r="F8" s="201" t="s">
        <v>248</v>
      </c>
      <c r="G8" s="442"/>
      <c r="H8" s="442"/>
      <c r="I8" s="203" t="s">
        <v>247</v>
      </c>
      <c r="J8" s="201" t="s">
        <v>248</v>
      </c>
      <c r="K8" s="442"/>
    </row>
    <row r="9" spans="1:39" ht="11.15" customHeight="1">
      <c r="A9" s="397" t="str">
        <f>'3.1'!D5</f>
        <v>Říjen</v>
      </c>
      <c r="B9" s="397"/>
      <c r="C9" s="147" t="s">
        <v>4</v>
      </c>
      <c r="D9" s="287">
        <v>76</v>
      </c>
      <c r="E9" s="283">
        <v>8527.2279980000003</v>
      </c>
      <c r="F9" s="283">
        <v>94555.687212999997</v>
      </c>
      <c r="G9" s="284">
        <f>E9/$E$14</f>
        <v>0.37895219139287717</v>
      </c>
      <c r="H9" s="284">
        <f>(E9-I9)/I9</f>
        <v>0.34185272810087652</v>
      </c>
      <c r="I9" s="287">
        <v>6354.816605</v>
      </c>
      <c r="J9" s="283">
        <v>69660.864145</v>
      </c>
      <c r="K9" s="284">
        <f>I9/$I$14</f>
        <v>0.33140488228214249</v>
      </c>
      <c r="N9" s="68"/>
      <c r="O9" s="68"/>
      <c r="P9" s="68"/>
      <c r="Q9" s="68"/>
      <c r="R9" s="68"/>
      <c r="S9" s="68"/>
      <c r="T9" s="68"/>
      <c r="U9" s="92"/>
      <c r="AF9" s="68"/>
      <c r="AG9" s="68"/>
      <c r="AH9" s="68"/>
      <c r="AI9" s="68"/>
      <c r="AJ9" s="68"/>
      <c r="AK9" s="68"/>
      <c r="AL9" s="68"/>
      <c r="AM9" s="68"/>
    </row>
    <row r="10" spans="1:39" ht="11.15" customHeight="1">
      <c r="A10" s="398"/>
      <c r="B10" s="398"/>
      <c r="C10" s="137" t="s">
        <v>5</v>
      </c>
      <c r="D10" s="288">
        <v>259</v>
      </c>
      <c r="E10" s="113">
        <v>2886.2719150000003</v>
      </c>
      <c r="F10" s="113">
        <v>32002.956402</v>
      </c>
      <c r="G10" s="282">
        <f>E10/$E$14</f>
        <v>0.12826666149908264</v>
      </c>
      <c r="H10" s="282">
        <f>(E10-I10)/I10</f>
        <v>-0.2588495110878361</v>
      </c>
      <c r="I10" s="288">
        <v>3894.312907</v>
      </c>
      <c r="J10" s="113">
        <v>42688.231039999999</v>
      </c>
      <c r="K10" s="282">
        <f>I10/$I$14</f>
        <v>0.20308915122723092</v>
      </c>
      <c r="L10" s="68"/>
      <c r="N10" s="68"/>
      <c r="O10" s="68"/>
      <c r="P10" s="68"/>
      <c r="Q10" s="68"/>
      <c r="R10" s="68"/>
      <c r="S10" s="68"/>
      <c r="T10" s="68"/>
      <c r="U10" s="92"/>
      <c r="AF10" s="68"/>
      <c r="AG10" s="68"/>
      <c r="AH10" s="68"/>
      <c r="AI10" s="68"/>
      <c r="AJ10" s="68"/>
      <c r="AK10" s="68"/>
      <c r="AL10" s="68"/>
    </row>
    <row r="11" spans="1:39" ht="11.15" customHeight="1">
      <c r="A11" s="398"/>
      <c r="B11" s="398"/>
      <c r="C11" s="137" t="s">
        <v>6</v>
      </c>
      <c r="D11" s="288">
        <v>9707</v>
      </c>
      <c r="E11" s="113">
        <v>4184.5204280000007</v>
      </c>
      <c r="F11" s="113">
        <v>46395.92762799999</v>
      </c>
      <c r="G11" s="282">
        <f>E11/$E$14</f>
        <v>0.18596115718857087</v>
      </c>
      <c r="H11" s="282">
        <f t="shared" ref="H11:H13" si="0">(E11-I11)/I11</f>
        <v>0.25475756361992963</v>
      </c>
      <c r="I11" s="288">
        <v>3334.9234540000002</v>
      </c>
      <c r="J11" s="113">
        <v>36553.950973999999</v>
      </c>
      <c r="K11" s="282">
        <f>I11/$I$14</f>
        <v>0.17391688594494475</v>
      </c>
      <c r="L11" s="68"/>
      <c r="N11" s="68"/>
      <c r="O11" s="68"/>
      <c r="P11" s="68"/>
      <c r="Q11" s="68"/>
      <c r="R11" s="68"/>
      <c r="S11" s="68"/>
      <c r="T11" s="68"/>
      <c r="U11" s="92"/>
      <c r="AF11" s="68"/>
      <c r="AG11" s="68"/>
      <c r="AH11" s="68"/>
      <c r="AI11" s="68"/>
      <c r="AJ11" s="68"/>
      <c r="AK11" s="68"/>
      <c r="AL11" s="68"/>
    </row>
    <row r="12" spans="1:39" ht="11.15" customHeight="1">
      <c r="A12" s="398"/>
      <c r="B12" s="398"/>
      <c r="C12" s="137" t="s">
        <v>7</v>
      </c>
      <c r="D12" s="288">
        <v>91560</v>
      </c>
      <c r="E12" s="113">
        <v>6638.6864850000002</v>
      </c>
      <c r="F12" s="113">
        <v>73611.039539000005</v>
      </c>
      <c r="G12" s="282">
        <f>E12/$E$14</f>
        <v>0.29502492393203006</v>
      </c>
      <c r="H12" s="282">
        <f t="shared" si="0"/>
        <v>0.25571210435561403</v>
      </c>
      <c r="I12" s="288">
        <v>5286.7902299999996</v>
      </c>
      <c r="J12" s="113">
        <v>57951.475424000004</v>
      </c>
      <c r="K12" s="282">
        <f>I12/$I$14</f>
        <v>0.27570710576368096</v>
      </c>
      <c r="L12" s="68"/>
      <c r="N12" s="68"/>
      <c r="O12" s="68"/>
      <c r="P12" s="68"/>
      <c r="Q12" s="68"/>
      <c r="R12" s="68"/>
      <c r="S12" s="68"/>
      <c r="T12" s="68"/>
      <c r="U12" s="92"/>
      <c r="AF12" s="68"/>
      <c r="AG12" s="68"/>
      <c r="AH12" s="68"/>
      <c r="AI12" s="68"/>
      <c r="AJ12" s="68"/>
      <c r="AK12" s="68"/>
      <c r="AL12" s="68"/>
    </row>
    <row r="13" spans="1:39" ht="11.15" customHeight="1">
      <c r="A13" s="398"/>
      <c r="B13" s="398"/>
      <c r="C13" s="137" t="s">
        <v>90</v>
      </c>
      <c r="D13" s="288">
        <v>18</v>
      </c>
      <c r="E13" s="113">
        <v>265.41399999999999</v>
      </c>
      <c r="F13" s="113">
        <v>2943.355532</v>
      </c>
      <c r="G13" s="282">
        <f>E13/$E$14</f>
        <v>1.1795065987439204E-2</v>
      </c>
      <c r="H13" s="282">
        <f t="shared" si="0"/>
        <v>-0.12848431912734826</v>
      </c>
      <c r="I13" s="288">
        <v>304.54300000000001</v>
      </c>
      <c r="J13" s="113">
        <v>3338.4670780000001</v>
      </c>
      <c r="K13" s="282">
        <f>I13/$I$14</f>
        <v>1.5881974782000891E-2</v>
      </c>
      <c r="L13" s="68"/>
      <c r="N13" s="68"/>
      <c r="O13" s="68"/>
      <c r="P13" s="68"/>
      <c r="Q13" s="68"/>
      <c r="R13" s="68"/>
      <c r="S13" s="68"/>
      <c r="T13" s="68"/>
      <c r="U13" s="92"/>
      <c r="AF13" s="68"/>
      <c r="AG13" s="68"/>
      <c r="AH13" s="68"/>
      <c r="AI13" s="68"/>
      <c r="AJ13" s="68"/>
      <c r="AK13" s="68"/>
      <c r="AL13" s="68"/>
    </row>
    <row r="14" spans="1:39" ht="11.15" customHeight="1">
      <c r="A14" s="399"/>
      <c r="B14" s="399"/>
      <c r="C14" s="293" t="s">
        <v>0</v>
      </c>
      <c r="D14" s="296">
        <v>101620</v>
      </c>
      <c r="E14" s="294">
        <v>22502.120826000002</v>
      </c>
      <c r="F14" s="294">
        <v>249508.96631399999</v>
      </c>
      <c r="G14" s="295">
        <f>SUM(G9:G13)</f>
        <v>0.99999999999999989</v>
      </c>
      <c r="H14" s="295">
        <f>(E14-I14)/I14</f>
        <v>0.17348983723175088</v>
      </c>
      <c r="I14" s="296">
        <v>19175.386195999999</v>
      </c>
      <c r="J14" s="294">
        <v>210192.98866099998</v>
      </c>
      <c r="K14" s="295">
        <f>SUM(K9:K13)</f>
        <v>1</v>
      </c>
      <c r="L14" s="68"/>
      <c r="M14" s="68"/>
      <c r="N14" s="68"/>
      <c r="O14" s="68"/>
      <c r="P14" s="68"/>
      <c r="Q14" s="68"/>
      <c r="R14" s="68"/>
      <c r="S14" s="68"/>
      <c r="T14" s="68"/>
      <c r="U14" s="92"/>
      <c r="AF14" s="68"/>
      <c r="AG14" s="68"/>
      <c r="AH14" s="68"/>
      <c r="AI14" s="68"/>
      <c r="AJ14" s="68"/>
      <c r="AK14" s="68"/>
      <c r="AL14" s="68"/>
    </row>
    <row r="15" spans="1:39" ht="11.15" customHeight="1">
      <c r="A15" s="397" t="str">
        <f>'3.1'!E5</f>
        <v>Listopad</v>
      </c>
      <c r="B15" s="397"/>
      <c r="C15" s="147" t="s">
        <v>4</v>
      </c>
      <c r="D15" s="287">
        <v>76</v>
      </c>
      <c r="E15" s="283">
        <v>9097.5315189999983</v>
      </c>
      <c r="F15" s="283">
        <v>100266.49236600001</v>
      </c>
      <c r="G15" s="284">
        <f>E15/$E$20</f>
        <v>0.30328711882141907</v>
      </c>
      <c r="H15" s="284">
        <f>(E15-I15)/I15</f>
        <v>0.25550877601188943</v>
      </c>
      <c r="I15" s="287">
        <v>7246.091539</v>
      </c>
      <c r="J15" s="283">
        <v>79036.743466</v>
      </c>
      <c r="K15" s="284">
        <f>I15/$I$20</f>
        <v>0.25018650178886115</v>
      </c>
      <c r="L15" s="68"/>
      <c r="M15" s="68"/>
      <c r="N15" s="68"/>
      <c r="O15" s="68"/>
      <c r="P15" s="68"/>
      <c r="Q15" s="68"/>
      <c r="R15" s="68"/>
      <c r="S15" s="68"/>
      <c r="T15" s="68"/>
      <c r="U15" s="92"/>
      <c r="AF15" s="68"/>
      <c r="AG15" s="68"/>
      <c r="AH15" s="68"/>
      <c r="AI15" s="68"/>
      <c r="AJ15" s="68"/>
      <c r="AK15" s="68"/>
      <c r="AL15" s="68"/>
    </row>
    <row r="16" spans="1:39" ht="11.15" customHeight="1">
      <c r="A16" s="398"/>
      <c r="B16" s="398"/>
      <c r="C16" s="137" t="s">
        <v>5</v>
      </c>
      <c r="D16" s="288">
        <v>258</v>
      </c>
      <c r="E16" s="113">
        <v>3837.4480199999998</v>
      </c>
      <c r="F16" s="113">
        <v>42296.011485999996</v>
      </c>
      <c r="G16" s="282">
        <f>E16/$E$20</f>
        <v>0.12793014799477051</v>
      </c>
      <c r="H16" s="282">
        <f>(E16-I16)/I16</f>
        <v>-0.25270084767515971</v>
      </c>
      <c r="I16" s="288">
        <v>5135.0894859999999</v>
      </c>
      <c r="J16" s="113">
        <v>56011.656133999997</v>
      </c>
      <c r="K16" s="282">
        <f>I16/$I$20</f>
        <v>0.17729973020081399</v>
      </c>
      <c r="L16" s="86"/>
      <c r="M16" s="68"/>
      <c r="N16" s="68"/>
      <c r="O16" s="68"/>
      <c r="P16" s="68"/>
      <c r="Q16" s="68"/>
      <c r="R16" s="68"/>
      <c r="S16" s="68"/>
      <c r="T16" s="68"/>
      <c r="U16" s="92"/>
      <c r="AF16" s="68"/>
      <c r="AG16" s="68"/>
      <c r="AH16" s="68"/>
      <c r="AI16" s="68"/>
      <c r="AJ16" s="68"/>
      <c r="AK16" s="68"/>
      <c r="AL16" s="68"/>
    </row>
    <row r="17" spans="1:38" ht="11.15" customHeight="1">
      <c r="A17" s="398"/>
      <c r="B17" s="398"/>
      <c r="C17" s="137" t="s">
        <v>6</v>
      </c>
      <c r="D17" s="288">
        <v>9706</v>
      </c>
      <c r="E17" s="113">
        <v>6493.9987039999996</v>
      </c>
      <c r="F17" s="113">
        <v>71573.867782000001</v>
      </c>
      <c r="G17" s="282">
        <f>E17/$E$20</f>
        <v>0.21649236965575053</v>
      </c>
      <c r="H17" s="282">
        <f t="shared" ref="H17:H20" si="1">(E17-I17)/I17</f>
        <v>3.1979080931260874E-2</v>
      </c>
      <c r="I17" s="288">
        <v>6292.7619599999998</v>
      </c>
      <c r="J17" s="113">
        <v>68637.306282000005</v>
      </c>
      <c r="K17" s="282">
        <f>I17/$I$20</f>
        <v>0.21727079942184779</v>
      </c>
      <c r="L17" s="68"/>
      <c r="M17" s="68"/>
      <c r="N17" s="68"/>
      <c r="O17" s="68"/>
      <c r="P17" s="68"/>
      <c r="Q17" s="68"/>
      <c r="R17" s="68"/>
      <c r="S17" s="68"/>
      <c r="T17" s="68"/>
      <c r="U17" s="92"/>
      <c r="AF17" s="68"/>
      <c r="AG17" s="68"/>
      <c r="AH17" s="68"/>
      <c r="AI17" s="68"/>
      <c r="AJ17" s="68"/>
      <c r="AK17" s="68"/>
      <c r="AL17" s="68"/>
    </row>
    <row r="18" spans="1:38" ht="11.15" customHeight="1">
      <c r="A18" s="398"/>
      <c r="B18" s="398"/>
      <c r="C18" s="137" t="s">
        <v>7</v>
      </c>
      <c r="D18" s="288">
        <v>91576</v>
      </c>
      <c r="E18" s="113">
        <v>10308.92103</v>
      </c>
      <c r="F18" s="113">
        <v>113623.54663000001</v>
      </c>
      <c r="G18" s="282">
        <f>E18/$E$20</f>
        <v>0.34367157187820413</v>
      </c>
      <c r="H18" s="282">
        <f t="shared" si="1"/>
        <v>3.218752466423546E-2</v>
      </c>
      <c r="I18" s="288">
        <v>9987.4497449999999</v>
      </c>
      <c r="J18" s="113">
        <v>108940.707843</v>
      </c>
      <c r="K18" s="282">
        <f>I18/$I$20</f>
        <v>0.34483764109864407</v>
      </c>
      <c r="L18" s="68"/>
      <c r="M18" s="68"/>
      <c r="N18" s="68"/>
      <c r="O18" s="68"/>
      <c r="P18" s="68"/>
      <c r="Q18" s="68"/>
      <c r="R18" s="68"/>
      <c r="S18" s="68"/>
      <c r="T18" s="68"/>
      <c r="U18" s="92"/>
      <c r="AF18" s="68"/>
      <c r="AG18" s="68"/>
      <c r="AH18" s="68"/>
      <c r="AI18" s="68"/>
      <c r="AJ18" s="68"/>
      <c r="AK18" s="68"/>
      <c r="AL18" s="68"/>
    </row>
    <row r="19" spans="1:38" ht="11.15" customHeight="1">
      <c r="A19" s="398"/>
      <c r="B19" s="398"/>
      <c r="C19" s="137" t="s">
        <v>90</v>
      </c>
      <c r="D19" s="288">
        <v>18</v>
      </c>
      <c r="E19" s="113">
        <v>258.53300000000002</v>
      </c>
      <c r="F19" s="113">
        <v>2849.9015169999998</v>
      </c>
      <c r="G19" s="282">
        <f>E19/$E$20</f>
        <v>8.6187916498558868E-3</v>
      </c>
      <c r="H19" s="282">
        <f t="shared" si="1"/>
        <v>-0.14213235025732746</v>
      </c>
      <c r="I19" s="288">
        <v>301.36700000000002</v>
      </c>
      <c r="J19" s="113">
        <v>3287.0601409999999</v>
      </c>
      <c r="K19" s="282">
        <f>I19/$I$20</f>
        <v>1.0405327489833098E-2</v>
      </c>
      <c r="L19" s="68"/>
      <c r="M19" s="68"/>
      <c r="N19" s="68"/>
      <c r="O19" s="68"/>
      <c r="P19" s="68"/>
      <c r="Q19" s="68"/>
      <c r="R19" s="68"/>
      <c r="S19" s="68"/>
      <c r="T19" s="68"/>
      <c r="U19" s="92"/>
      <c r="AF19" s="68"/>
      <c r="AG19" s="68"/>
      <c r="AH19" s="68"/>
      <c r="AI19" s="68"/>
      <c r="AJ19" s="68"/>
      <c r="AK19" s="68"/>
      <c r="AL19" s="68"/>
    </row>
    <row r="20" spans="1:38" ht="11.15" customHeight="1">
      <c r="A20" s="399"/>
      <c r="B20" s="399"/>
      <c r="C20" s="293" t="s">
        <v>0</v>
      </c>
      <c r="D20" s="296">
        <v>101634</v>
      </c>
      <c r="E20" s="294">
        <v>29996.432272999995</v>
      </c>
      <c r="F20" s="294">
        <v>330609.81978099997</v>
      </c>
      <c r="G20" s="295">
        <f>SUM(G15:G19)</f>
        <v>1.0000000000000002</v>
      </c>
      <c r="H20" s="295">
        <f t="shared" si="1"/>
        <v>3.568971163784871E-2</v>
      </c>
      <c r="I20" s="296">
        <v>28962.759729999998</v>
      </c>
      <c r="J20" s="294">
        <v>315913.47386600001</v>
      </c>
      <c r="K20" s="295">
        <f>SUM(K15:K19)</f>
        <v>1</v>
      </c>
      <c r="L20" s="68"/>
      <c r="M20" s="68"/>
      <c r="N20" s="68"/>
      <c r="O20" s="68"/>
      <c r="P20" s="68"/>
      <c r="Q20" s="68"/>
      <c r="R20" s="68"/>
      <c r="S20" s="68"/>
      <c r="T20" s="68"/>
      <c r="U20" s="92"/>
      <c r="AF20" s="68"/>
      <c r="AG20" s="68"/>
      <c r="AH20" s="68"/>
      <c r="AI20" s="68"/>
      <c r="AJ20" s="68"/>
      <c r="AK20" s="68"/>
      <c r="AL20" s="68"/>
    </row>
    <row r="21" spans="1:38" ht="11.15" customHeight="1">
      <c r="A21" s="397" t="str">
        <f>'3.1'!F5</f>
        <v>Prosinec</v>
      </c>
      <c r="B21" s="397"/>
      <c r="C21" s="147" t="s">
        <v>4</v>
      </c>
      <c r="D21" s="287">
        <v>76</v>
      </c>
      <c r="E21" s="283">
        <v>7567.5005030000002</v>
      </c>
      <c r="F21" s="283">
        <v>83271.617022999999</v>
      </c>
      <c r="G21" s="284">
        <f>E21/$E$26</f>
        <v>0.23364714756844115</v>
      </c>
      <c r="H21" s="284">
        <f>(E21-I21)/I21</f>
        <v>0.14598817746368897</v>
      </c>
      <c r="I21" s="287">
        <v>6603.4717039999996</v>
      </c>
      <c r="J21" s="283">
        <v>71852.375616000005</v>
      </c>
      <c r="K21" s="284">
        <f>I21/$I$26</f>
        <v>0.2058732796618723</v>
      </c>
      <c r="L21" s="78"/>
      <c r="M21" s="78"/>
      <c r="N21" s="68"/>
      <c r="O21" s="68"/>
      <c r="P21" s="68"/>
      <c r="Q21" s="68"/>
      <c r="R21" s="68"/>
      <c r="S21" s="68"/>
      <c r="T21" s="68"/>
      <c r="U21" s="92"/>
      <c r="AF21" s="68"/>
      <c r="AG21" s="68"/>
      <c r="AH21" s="68"/>
      <c r="AI21" s="68"/>
      <c r="AJ21" s="68"/>
      <c r="AK21" s="68"/>
      <c r="AL21" s="68"/>
    </row>
    <row r="22" spans="1:38" ht="11.15" customHeight="1">
      <c r="A22" s="398"/>
      <c r="B22" s="398"/>
      <c r="C22" s="137" t="s">
        <v>5</v>
      </c>
      <c r="D22" s="288">
        <v>258</v>
      </c>
      <c r="E22" s="113">
        <v>3891.6973980000002</v>
      </c>
      <c r="F22" s="113">
        <v>42816.580902999995</v>
      </c>
      <c r="G22" s="282">
        <f>E22/$E$26</f>
        <v>0.1201564500566277</v>
      </c>
      <c r="H22" s="282">
        <f t="shared" ref="H22:H26" si="2">(E22-I22)/I22</f>
        <v>-0.18179176359438812</v>
      </c>
      <c r="I22" s="288">
        <v>4756.3654640000004</v>
      </c>
      <c r="J22" s="113">
        <v>51754.809670999995</v>
      </c>
      <c r="K22" s="282">
        <f>I22/$I$26</f>
        <v>0.14828693166823073</v>
      </c>
      <c r="L22" s="78"/>
      <c r="M22" s="78"/>
      <c r="N22" s="68"/>
      <c r="O22" s="68"/>
      <c r="P22" s="68"/>
      <c r="Q22" s="68"/>
      <c r="R22" s="68"/>
      <c r="S22" s="68"/>
      <c r="T22" s="68"/>
      <c r="U22" s="92"/>
      <c r="AF22" s="68"/>
      <c r="AG22" s="68"/>
      <c r="AH22" s="68"/>
      <c r="AI22" s="68"/>
      <c r="AJ22" s="68"/>
      <c r="AK22" s="68"/>
      <c r="AL22" s="68"/>
    </row>
    <row r="23" spans="1:38" ht="11.15" customHeight="1">
      <c r="A23" s="398"/>
      <c r="B23" s="398"/>
      <c r="C23" s="137" t="s">
        <v>6</v>
      </c>
      <c r="D23" s="288">
        <v>9709</v>
      </c>
      <c r="E23" s="113">
        <v>7994.3576139999996</v>
      </c>
      <c r="F23" s="113">
        <v>87955.234493000011</v>
      </c>
      <c r="G23" s="282">
        <f>E23/$E$26</f>
        <v>0.24682639299629641</v>
      </c>
      <c r="H23" s="282">
        <f t="shared" si="2"/>
        <v>1.2421562176422117E-2</v>
      </c>
      <c r="I23" s="288">
        <v>7896.273561</v>
      </c>
      <c r="J23" s="113">
        <v>85917.616353999998</v>
      </c>
      <c r="K23" s="282">
        <f>I23/$I$26</f>
        <v>0.24617834496446589</v>
      </c>
      <c r="L23" s="78"/>
      <c r="M23" s="78"/>
      <c r="N23" s="68"/>
      <c r="O23" s="68"/>
      <c r="P23" s="68"/>
      <c r="Q23" s="68"/>
      <c r="R23" s="68"/>
      <c r="S23" s="68"/>
      <c r="T23" s="68"/>
      <c r="U23" s="92"/>
      <c r="AF23" s="68"/>
      <c r="AG23" s="68"/>
      <c r="AH23" s="68"/>
      <c r="AI23" s="68"/>
      <c r="AJ23" s="68"/>
      <c r="AK23" s="68"/>
      <c r="AL23" s="68"/>
    </row>
    <row r="24" spans="1:38" ht="11.15" customHeight="1">
      <c r="A24" s="398"/>
      <c r="B24" s="398"/>
      <c r="C24" s="137" t="s">
        <v>7</v>
      </c>
      <c r="D24" s="288">
        <v>91529</v>
      </c>
      <c r="E24" s="113">
        <v>12694.124501999999</v>
      </c>
      <c r="F24" s="113">
        <v>139633.18589700002</v>
      </c>
      <c r="G24" s="282">
        <f>E24/$E$26</f>
        <v>0.39193204937286252</v>
      </c>
      <c r="H24" s="282">
        <f t="shared" si="2"/>
        <v>1.239055640150628E-2</v>
      </c>
      <c r="I24" s="288">
        <v>12538.762261</v>
      </c>
      <c r="J24" s="113">
        <v>136435.68585900002</v>
      </c>
      <c r="K24" s="282">
        <f>I24/$I$26</f>
        <v>0.39091499521515682</v>
      </c>
      <c r="L24" s="78"/>
      <c r="M24" s="78"/>
      <c r="N24" s="68"/>
      <c r="O24" s="68"/>
      <c r="P24" s="68"/>
      <c r="Q24" s="68"/>
      <c r="R24" s="68"/>
      <c r="S24" s="68"/>
      <c r="T24" s="68"/>
      <c r="U24" s="92"/>
      <c r="AF24" s="68"/>
      <c r="AG24" s="68"/>
      <c r="AH24" s="68"/>
      <c r="AI24" s="68"/>
      <c r="AJ24" s="68"/>
      <c r="AK24" s="68"/>
      <c r="AL24" s="68"/>
    </row>
    <row r="25" spans="1:38" ht="11.15" customHeight="1">
      <c r="A25" s="398"/>
      <c r="B25" s="398"/>
      <c r="C25" s="137" t="s">
        <v>90</v>
      </c>
      <c r="D25" s="288">
        <v>18</v>
      </c>
      <c r="E25" s="113">
        <v>240.905</v>
      </c>
      <c r="F25" s="113">
        <v>2650.485561</v>
      </c>
      <c r="G25" s="282">
        <f>E25/$E$26</f>
        <v>7.4379600057722407E-3</v>
      </c>
      <c r="H25" s="282">
        <f t="shared" si="2"/>
        <v>-0.1412994660412196</v>
      </c>
      <c r="I25" s="288">
        <v>280.54599999999999</v>
      </c>
      <c r="J25" s="113">
        <v>3052.8661659999998</v>
      </c>
      <c r="K25" s="282">
        <f>I25/$I$26</f>
        <v>8.746448490274266E-3</v>
      </c>
      <c r="L25" s="78"/>
      <c r="M25" s="78"/>
      <c r="N25" s="68"/>
      <c r="O25" s="68"/>
      <c r="P25" s="68"/>
      <c r="Q25" s="68"/>
      <c r="R25" s="68"/>
      <c r="S25" s="68"/>
      <c r="T25" s="68"/>
      <c r="U25" s="92"/>
      <c r="AF25" s="68"/>
      <c r="AG25" s="68"/>
      <c r="AH25" s="68"/>
      <c r="AI25" s="68"/>
      <c r="AJ25" s="68"/>
      <c r="AK25" s="68"/>
      <c r="AL25" s="68"/>
    </row>
    <row r="26" spans="1:38" ht="11.15" customHeight="1">
      <c r="A26" s="399"/>
      <c r="B26" s="399"/>
      <c r="C26" s="293" t="s">
        <v>0</v>
      </c>
      <c r="D26" s="296">
        <v>101590</v>
      </c>
      <c r="E26" s="294">
        <v>32388.585016999998</v>
      </c>
      <c r="F26" s="294">
        <v>356327.10387700005</v>
      </c>
      <c r="G26" s="295">
        <f>SUM(G21:G25)</f>
        <v>1</v>
      </c>
      <c r="H26" s="295">
        <f t="shared" si="2"/>
        <v>9.7634274737808911E-3</v>
      </c>
      <c r="I26" s="296">
        <v>32075.418989999998</v>
      </c>
      <c r="J26" s="294">
        <v>349013.35366600007</v>
      </c>
      <c r="K26" s="295">
        <f>SUM(K21:K25)</f>
        <v>1</v>
      </c>
      <c r="N26" s="68"/>
      <c r="O26" s="68"/>
      <c r="P26" s="68"/>
      <c r="Q26" s="68"/>
      <c r="R26" s="68"/>
      <c r="S26" s="68"/>
      <c r="T26" s="68"/>
      <c r="U26" s="92"/>
      <c r="AF26" s="68"/>
      <c r="AG26" s="68"/>
      <c r="AH26" s="68"/>
      <c r="AI26" s="68"/>
      <c r="AJ26" s="68"/>
      <c r="AK26" s="68"/>
      <c r="AL26" s="68"/>
    </row>
    <row r="27" spans="1:38" ht="11.15" customHeight="1">
      <c r="A27" s="467" t="str">
        <f>'3.1'!G5</f>
        <v>IV. čtvrtletí</v>
      </c>
      <c r="B27" s="397"/>
      <c r="C27" s="147" t="s">
        <v>4</v>
      </c>
      <c r="D27" s="287">
        <f>D21</f>
        <v>76</v>
      </c>
      <c r="E27" s="283">
        <f>E9+E15+E21</f>
        <v>25192.260019999998</v>
      </c>
      <c r="F27" s="283">
        <f>F9+F15+F21</f>
        <v>278093.79660200002</v>
      </c>
      <c r="G27" s="284">
        <f>E27/$E$32</f>
        <v>0.29677358171239393</v>
      </c>
      <c r="H27" s="284">
        <f>(E27-I27)/I27</f>
        <v>0.24687123334269226</v>
      </c>
      <c r="I27" s="287">
        <f>I9+I15+I21</f>
        <v>20204.379848</v>
      </c>
      <c r="J27" s="283">
        <f>J9+J15+J21</f>
        <v>220549.98322700002</v>
      </c>
      <c r="K27" s="284">
        <f>I27/$I$32</f>
        <v>0.25188233273459565</v>
      </c>
      <c r="N27" s="68"/>
      <c r="O27" s="68"/>
      <c r="P27" s="68"/>
      <c r="Q27" s="68"/>
      <c r="R27" s="68"/>
      <c r="S27" s="68"/>
      <c r="T27" s="68"/>
      <c r="U27" s="92"/>
      <c r="AF27" s="68"/>
      <c r="AG27" s="68"/>
      <c r="AH27" s="68"/>
      <c r="AI27" s="68"/>
      <c r="AJ27" s="68"/>
      <c r="AK27" s="68"/>
      <c r="AL27" s="68"/>
    </row>
    <row r="28" spans="1:38" ht="11.15" customHeight="1">
      <c r="A28" s="398"/>
      <c r="B28" s="398"/>
      <c r="C28" s="137" t="s">
        <v>5</v>
      </c>
      <c r="D28" s="288">
        <f>D22</f>
        <v>258</v>
      </c>
      <c r="E28" s="113">
        <f t="shared" ref="E28:F28" si="3">E10+E16+E22</f>
        <v>10615.417333000001</v>
      </c>
      <c r="F28" s="113">
        <f t="shared" si="3"/>
        <v>117115.54879099999</v>
      </c>
      <c r="G28" s="282">
        <f>E28/$E$32</f>
        <v>0.12505330688017563</v>
      </c>
      <c r="H28" s="282">
        <f t="shared" ref="H28:H31" si="4">(E28-I28)/I28</f>
        <v>-0.22997271946590847</v>
      </c>
      <c r="I28" s="288">
        <f t="shared" ref="I28:J28" si="5">I10+I16+I22</f>
        <v>13785.767857000001</v>
      </c>
      <c r="J28" s="113">
        <f t="shared" si="5"/>
        <v>150454.696845</v>
      </c>
      <c r="K28" s="282">
        <f>I28/$I$32</f>
        <v>0.17186329857595181</v>
      </c>
      <c r="N28" s="68"/>
      <c r="O28" s="68"/>
      <c r="P28" s="68"/>
      <c r="Q28" s="68"/>
      <c r="R28" s="68"/>
      <c r="S28" s="68"/>
      <c r="T28" s="68"/>
      <c r="U28" s="92"/>
      <c r="AF28" s="68"/>
      <c r="AG28" s="68"/>
      <c r="AH28" s="68"/>
      <c r="AI28" s="68"/>
      <c r="AJ28" s="68"/>
      <c r="AK28" s="68"/>
      <c r="AL28" s="68"/>
    </row>
    <row r="29" spans="1:38" ht="11.15" customHeight="1">
      <c r="A29" s="398"/>
      <c r="B29" s="398"/>
      <c r="C29" s="137" t="s">
        <v>6</v>
      </c>
      <c r="D29" s="288">
        <f>D23</f>
        <v>9709</v>
      </c>
      <c r="E29" s="113">
        <f t="shared" ref="E29:F29" si="6">E11+E17+E23</f>
        <v>18672.876746000002</v>
      </c>
      <c r="F29" s="113">
        <f t="shared" si="6"/>
        <v>205925.02990299999</v>
      </c>
      <c r="G29" s="282">
        <f>E29/$E$32</f>
        <v>0.21997298012901714</v>
      </c>
      <c r="H29" s="282">
        <f t="shared" si="4"/>
        <v>6.5562683217820092E-2</v>
      </c>
      <c r="I29" s="288">
        <f t="shared" ref="I29:J29" si="7">I11+I17+I23</f>
        <v>17523.958975000001</v>
      </c>
      <c r="J29" s="113">
        <f t="shared" si="7"/>
        <v>191108.87361000001</v>
      </c>
      <c r="K29" s="282">
        <f>I29/$I$32</f>
        <v>0.21846627803353669</v>
      </c>
      <c r="N29" s="68"/>
      <c r="O29" s="68"/>
      <c r="P29" s="68"/>
      <c r="Q29" s="68"/>
      <c r="R29" s="68"/>
      <c r="S29" s="68"/>
      <c r="T29" s="68"/>
      <c r="U29" s="92"/>
      <c r="AF29" s="68"/>
      <c r="AG29" s="68"/>
      <c r="AH29" s="68"/>
      <c r="AI29" s="68"/>
      <c r="AJ29" s="68"/>
      <c r="AK29" s="68"/>
      <c r="AL29" s="68"/>
    </row>
    <row r="30" spans="1:38" ht="11.15" customHeight="1">
      <c r="A30" s="398"/>
      <c r="B30" s="398"/>
      <c r="C30" s="137" t="s">
        <v>7</v>
      </c>
      <c r="D30" s="288">
        <f>D24</f>
        <v>91529</v>
      </c>
      <c r="E30" s="113">
        <f t="shared" ref="E30:F31" si="8">E12+E18+E24</f>
        <v>29641.732016999998</v>
      </c>
      <c r="F30" s="113">
        <f t="shared" si="8"/>
        <v>326867.77206600003</v>
      </c>
      <c r="G30" s="282">
        <f>E30/$E$32</f>
        <v>0.34918990879977563</v>
      </c>
      <c r="H30" s="282">
        <f t="shared" si="4"/>
        <v>6.5750894688850453E-2</v>
      </c>
      <c r="I30" s="288">
        <f t="shared" ref="I30:J30" si="9">I12+I18+I24</f>
        <v>27813.002236</v>
      </c>
      <c r="J30" s="113">
        <f t="shared" si="9"/>
        <v>303327.86912600003</v>
      </c>
      <c r="K30" s="282">
        <f>I30/$I$32</f>
        <v>0.34673689250846662</v>
      </c>
      <c r="N30" s="68"/>
      <c r="O30" s="68"/>
      <c r="P30" s="68"/>
      <c r="Q30" s="68"/>
      <c r="R30" s="68"/>
      <c r="S30" s="68"/>
      <c r="T30" s="68"/>
      <c r="U30" s="92"/>
      <c r="AF30" s="68"/>
      <c r="AG30" s="68"/>
      <c r="AH30" s="68"/>
      <c r="AI30" s="68"/>
      <c r="AJ30" s="68"/>
      <c r="AK30" s="68"/>
      <c r="AL30" s="68"/>
    </row>
    <row r="31" spans="1:38" ht="11.15" customHeight="1">
      <c r="A31" s="398"/>
      <c r="B31" s="398"/>
      <c r="C31" s="137" t="s">
        <v>90</v>
      </c>
      <c r="D31" s="288">
        <f>D25</f>
        <v>18</v>
      </c>
      <c r="E31" s="113">
        <f>E13+E19+E25</f>
        <v>764.85199999999998</v>
      </c>
      <c r="F31" s="113">
        <f t="shared" si="8"/>
        <v>8443.7426099999993</v>
      </c>
      <c r="G31" s="282">
        <f>E31/$E$32</f>
        <v>9.0102224786376261E-3</v>
      </c>
      <c r="H31" s="282">
        <f t="shared" si="4"/>
        <v>-0.13717996155477558</v>
      </c>
      <c r="I31" s="288">
        <f>I13+I19+I25</f>
        <v>886.45600000000013</v>
      </c>
      <c r="J31" s="113">
        <f t="shared" ref="J31" si="10">J13+J19+J25</f>
        <v>9678.3933849999994</v>
      </c>
      <c r="K31" s="282">
        <f>I31/$I$32</f>
        <v>1.1051198147449259E-2</v>
      </c>
      <c r="N31" s="68"/>
      <c r="O31" s="68"/>
      <c r="P31" s="68"/>
      <c r="Q31" s="68"/>
      <c r="R31" s="68"/>
      <c r="S31" s="68"/>
      <c r="T31" s="68"/>
      <c r="U31" s="92"/>
      <c r="AF31" s="68"/>
      <c r="AG31" s="68"/>
      <c r="AH31" s="68"/>
      <c r="AI31" s="68"/>
      <c r="AJ31" s="68"/>
      <c r="AK31" s="68"/>
      <c r="AL31" s="68"/>
    </row>
    <row r="32" spans="1:38" ht="11.15" customHeight="1">
      <c r="A32" s="399"/>
      <c r="B32" s="399"/>
      <c r="C32" s="293" t="s">
        <v>0</v>
      </c>
      <c r="D32" s="296">
        <f>SUM(D27:D31)</f>
        <v>101590</v>
      </c>
      <c r="E32" s="294">
        <f>SUM(E27:E31)</f>
        <v>84887.138116000002</v>
      </c>
      <c r="F32" s="294">
        <f>SUM(F27:F31)</f>
        <v>936445.88997199992</v>
      </c>
      <c r="G32" s="295">
        <f>SUM(G27:G31)</f>
        <v>0.99999999999999989</v>
      </c>
      <c r="H32" s="295">
        <f>(E32-I32)/I32</f>
        <v>5.826412533708214E-2</v>
      </c>
      <c r="I32" s="296">
        <f>SUM(I27:I31)</f>
        <v>80213.564916000003</v>
      </c>
      <c r="J32" s="294">
        <f>SUM(J27:J31)</f>
        <v>875119.81619300006</v>
      </c>
      <c r="K32" s="295">
        <f>SUM(K27:K31)</f>
        <v>1</v>
      </c>
      <c r="N32" s="68"/>
      <c r="O32" s="68"/>
      <c r="P32" s="68"/>
      <c r="Q32" s="68"/>
      <c r="R32" s="68"/>
      <c r="S32" s="68"/>
      <c r="T32" s="68"/>
      <c r="U32" s="92"/>
      <c r="AF32" s="68"/>
      <c r="AG32" s="68"/>
      <c r="AH32" s="68"/>
      <c r="AI32" s="68"/>
      <c r="AJ32" s="68"/>
      <c r="AK32" s="68"/>
      <c r="AL32" s="68"/>
    </row>
    <row r="33" spans="1:11" ht="10" customHeight="1">
      <c r="A33" s="332"/>
      <c r="B33" s="333"/>
      <c r="C33" s="334"/>
      <c r="D33" s="335"/>
      <c r="E33" s="335"/>
      <c r="F33" s="335"/>
      <c r="G33" s="336"/>
      <c r="H33" s="337"/>
      <c r="I33" s="335"/>
      <c r="J33" s="335"/>
      <c r="K33" s="336"/>
    </row>
    <row r="34" spans="1:11" ht="13" customHeight="1">
      <c r="A34" s="492" t="s">
        <v>35</v>
      </c>
      <c r="B34" s="492"/>
      <c r="C34" s="492"/>
      <c r="D34" s="457">
        <f>D4</f>
        <v>2025</v>
      </c>
      <c r="E34" s="328"/>
      <c r="F34" s="317"/>
      <c r="G34" s="317"/>
      <c r="H34" s="317"/>
      <c r="I34" s="457">
        <f>D34-1</f>
        <v>2024</v>
      </c>
      <c r="J34" s="458"/>
      <c r="K34" s="458"/>
    </row>
    <row r="35" spans="1:11" ht="25" customHeight="1">
      <c r="A35" s="279"/>
      <c r="B35" s="253"/>
      <c r="C35" s="133"/>
      <c r="D35" s="459"/>
      <c r="E35" s="329"/>
      <c r="F35" s="330"/>
      <c r="G35" s="330"/>
      <c r="H35" s="331"/>
      <c r="I35" s="459"/>
      <c r="J35" s="460"/>
      <c r="K35" s="460"/>
    </row>
    <row r="36" spans="1:11" ht="25" customHeight="1">
      <c r="A36" s="114"/>
      <c r="B36" s="115"/>
      <c r="C36" s="327"/>
      <c r="D36" s="338" t="s">
        <v>156</v>
      </c>
      <c r="E36" s="455" t="s">
        <v>59</v>
      </c>
      <c r="F36" s="455"/>
      <c r="G36" s="456" t="s">
        <v>32</v>
      </c>
      <c r="H36" s="456" t="s">
        <v>256</v>
      </c>
      <c r="I36" s="453" t="s">
        <v>59</v>
      </c>
      <c r="J36" s="454"/>
      <c r="K36" s="456" t="s">
        <v>32</v>
      </c>
    </row>
    <row r="37" spans="1:11" ht="25" customHeight="1">
      <c r="A37" s="114"/>
      <c r="B37" s="281"/>
      <c r="C37" s="281"/>
      <c r="D37" s="339"/>
      <c r="E37" s="455"/>
      <c r="F37" s="455"/>
      <c r="G37" s="456"/>
      <c r="H37" s="456"/>
      <c r="I37" s="453"/>
      <c r="J37" s="454"/>
      <c r="K37" s="456"/>
    </row>
    <row r="38" spans="1:11" ht="15" customHeight="1">
      <c r="A38" s="493" t="s">
        <v>155</v>
      </c>
      <c r="B38" s="493"/>
      <c r="C38" s="340" t="s">
        <v>180</v>
      </c>
      <c r="D38" s="318"/>
      <c r="E38" s="201" t="s">
        <v>247</v>
      </c>
      <c r="F38" s="201" t="s">
        <v>248</v>
      </c>
      <c r="G38" s="442"/>
      <c r="H38" s="442"/>
      <c r="I38" s="203" t="s">
        <v>247</v>
      </c>
      <c r="J38" s="201" t="s">
        <v>248</v>
      </c>
      <c r="K38" s="442"/>
    </row>
    <row r="39" spans="1:11" ht="11.15" customHeight="1">
      <c r="A39" s="397" t="str">
        <f>'3.1'!D5</f>
        <v>Říjen</v>
      </c>
      <c r="B39" s="397"/>
      <c r="C39" s="147" t="s">
        <v>4</v>
      </c>
      <c r="D39" s="287">
        <v>170</v>
      </c>
      <c r="E39" s="283">
        <v>27777.785</v>
      </c>
      <c r="F39" s="283">
        <v>306912.92465</v>
      </c>
      <c r="G39" s="284">
        <f>E39/$E$44</f>
        <v>0.36678429435928445</v>
      </c>
      <c r="H39" s="284">
        <f>(E39-I39)/I39</f>
        <v>-0.1204206016707831</v>
      </c>
      <c r="I39" s="287">
        <v>31580.758999999998</v>
      </c>
      <c r="J39" s="283">
        <v>345824.95701999997</v>
      </c>
      <c r="K39" s="284">
        <f>I39/$I$44</f>
        <v>0.4403851936350725</v>
      </c>
    </row>
    <row r="40" spans="1:11" ht="11.15" customHeight="1">
      <c r="A40" s="398"/>
      <c r="B40" s="398"/>
      <c r="C40" s="137" t="s">
        <v>5</v>
      </c>
      <c r="D40" s="288">
        <v>747</v>
      </c>
      <c r="E40" s="113">
        <v>9207.8150000000005</v>
      </c>
      <c r="F40" s="113">
        <v>101735.4654</v>
      </c>
      <c r="G40" s="282">
        <f t="shared" ref="G40:G41" si="11">E40/$E$44</f>
        <v>0.12158211777381944</v>
      </c>
      <c r="H40" s="282">
        <f>(E40-I40)/I40</f>
        <v>0.16349021223256124</v>
      </c>
      <c r="I40" s="288">
        <v>7913.96</v>
      </c>
      <c r="J40" s="113">
        <v>86661.887640000001</v>
      </c>
      <c r="K40" s="282">
        <f t="shared" ref="K40:K43" si="12">I40/$I$44</f>
        <v>0.11035804449855745</v>
      </c>
    </row>
    <row r="41" spans="1:11" ht="11.15" customHeight="1">
      <c r="A41" s="398"/>
      <c r="B41" s="398"/>
      <c r="C41" s="137" t="s">
        <v>6</v>
      </c>
      <c r="D41" s="288">
        <v>23509</v>
      </c>
      <c r="E41" s="113">
        <v>11117.921</v>
      </c>
      <c r="F41" s="113">
        <v>122839.89491</v>
      </c>
      <c r="G41" s="282">
        <f t="shared" si="11"/>
        <v>0.146803598945246</v>
      </c>
      <c r="H41" s="282">
        <f t="shared" ref="H41:H43" si="13">(E41-I41)/I41</f>
        <v>0.16435431392254257</v>
      </c>
      <c r="I41" s="288">
        <v>9548.5720000000001</v>
      </c>
      <c r="J41" s="113">
        <v>104504.49025</v>
      </c>
      <c r="K41" s="282">
        <f t="shared" si="12"/>
        <v>0.13315226936624391</v>
      </c>
    </row>
    <row r="42" spans="1:11" ht="11.15" customHeight="1">
      <c r="A42" s="398"/>
      <c r="B42" s="398"/>
      <c r="C42" s="137" t="s">
        <v>7</v>
      </c>
      <c r="D42" s="288">
        <v>342920</v>
      </c>
      <c r="E42" s="113">
        <v>26567.3</v>
      </c>
      <c r="F42" s="113">
        <v>293538.3</v>
      </c>
      <c r="G42" s="282">
        <f>E42/$E$44</f>
        <v>0.35080077059893072</v>
      </c>
      <c r="H42" s="282">
        <f t="shared" si="13"/>
        <v>0.23290716291157154</v>
      </c>
      <c r="I42" s="288">
        <v>21548.5</v>
      </c>
      <c r="J42" s="113">
        <v>235966.6</v>
      </c>
      <c r="K42" s="282">
        <f t="shared" si="12"/>
        <v>0.30048803909511357</v>
      </c>
    </row>
    <row r="43" spans="1:11" ht="11.15" customHeight="1">
      <c r="A43" s="398"/>
      <c r="B43" s="398"/>
      <c r="C43" s="137" t="s">
        <v>90</v>
      </c>
      <c r="D43" s="288">
        <v>30</v>
      </c>
      <c r="E43" s="113">
        <v>1062.479</v>
      </c>
      <c r="F43" s="113">
        <v>11739.18499</v>
      </c>
      <c r="G43" s="282">
        <f>E43/$E$44</f>
        <v>1.4029218322719332E-2</v>
      </c>
      <c r="H43" s="282">
        <f t="shared" si="13"/>
        <v>-5.1258078976177859E-2</v>
      </c>
      <c r="I43" s="288">
        <v>1119.8820000000001</v>
      </c>
      <c r="J43" s="113">
        <v>12263.259319999999</v>
      </c>
      <c r="K43" s="282">
        <f t="shared" si="12"/>
        <v>1.56164534050126E-2</v>
      </c>
    </row>
    <row r="44" spans="1:11" ht="11.15" customHeight="1">
      <c r="A44" s="399"/>
      <c r="B44" s="399"/>
      <c r="C44" s="293" t="s">
        <v>0</v>
      </c>
      <c r="D44" s="296">
        <v>367376</v>
      </c>
      <c r="E44" s="294">
        <v>75733.3</v>
      </c>
      <c r="F44" s="294">
        <v>836765.76994999987</v>
      </c>
      <c r="G44" s="295">
        <f>SUM(G39:G43)</f>
        <v>1</v>
      </c>
      <c r="H44" s="295">
        <f>(E44-I44)/I44</f>
        <v>5.6080507283660888E-2</v>
      </c>
      <c r="I44" s="296">
        <v>71711.672999999995</v>
      </c>
      <c r="J44" s="294">
        <v>785221.19422999991</v>
      </c>
      <c r="K44" s="295">
        <f>SUM(K39:K43)</f>
        <v>1</v>
      </c>
    </row>
    <row r="45" spans="1:11" ht="11.15" customHeight="1">
      <c r="A45" s="397" t="str">
        <f>'3.1'!E5</f>
        <v>Listopad</v>
      </c>
      <c r="B45" s="397"/>
      <c r="C45" s="147" t="s">
        <v>4</v>
      </c>
      <c r="D45" s="287">
        <v>170</v>
      </c>
      <c r="E45" s="283">
        <v>34290.932000000001</v>
      </c>
      <c r="F45" s="283">
        <v>377490.03128</v>
      </c>
      <c r="G45" s="284">
        <f>E45/$E$50</f>
        <v>0.32431994915436985</v>
      </c>
      <c r="H45" s="284">
        <f>(E45-I45)/I45</f>
        <v>-0.11091063715042802</v>
      </c>
      <c r="I45" s="287">
        <v>38568.6</v>
      </c>
      <c r="J45" s="283">
        <v>420977.43066999997</v>
      </c>
      <c r="K45" s="284">
        <f>I45/$I$50</f>
        <v>0.34803295812177742</v>
      </c>
    </row>
    <row r="46" spans="1:11" ht="11.15" customHeight="1">
      <c r="A46" s="398"/>
      <c r="B46" s="398"/>
      <c r="C46" s="137" t="s">
        <v>5</v>
      </c>
      <c r="D46" s="288">
        <v>751</v>
      </c>
      <c r="E46" s="113">
        <v>11692.800999999999</v>
      </c>
      <c r="F46" s="113">
        <v>128719.46541999999</v>
      </c>
      <c r="G46" s="282">
        <f t="shared" ref="G46:G48" si="14">E46/$E$50</f>
        <v>0.11058925507746958</v>
      </c>
      <c r="H46" s="282">
        <f>(E46-I46)/I46</f>
        <v>-2.3447388040662986E-3</v>
      </c>
      <c r="I46" s="288">
        <v>11720.281999999999</v>
      </c>
      <c r="J46" s="113">
        <v>127927.19938000001</v>
      </c>
      <c r="K46" s="282">
        <f t="shared" ref="K46:K49" si="15">I46/$I$50</f>
        <v>0.10576075912740991</v>
      </c>
    </row>
    <row r="47" spans="1:11" ht="11.15" customHeight="1">
      <c r="A47" s="398"/>
      <c r="B47" s="398"/>
      <c r="C47" s="137" t="s">
        <v>6</v>
      </c>
      <c r="D47" s="288">
        <v>23519</v>
      </c>
      <c r="E47" s="113">
        <v>17189.665000000001</v>
      </c>
      <c r="F47" s="113">
        <v>189231.64631000001</v>
      </c>
      <c r="G47" s="282">
        <f t="shared" si="14"/>
        <v>0.1625780039685317</v>
      </c>
      <c r="H47" s="282">
        <f t="shared" ref="H47:H49" si="16">(E47-I47)/I47</f>
        <v>-2.4716624729798915E-2</v>
      </c>
      <c r="I47" s="288">
        <v>17625.303</v>
      </c>
      <c r="J47" s="113">
        <v>192337.96393</v>
      </c>
      <c r="K47" s="282">
        <f t="shared" si="15"/>
        <v>0.15904612407198185</v>
      </c>
    </row>
    <row r="48" spans="1:11" ht="11.15" customHeight="1">
      <c r="A48" s="398"/>
      <c r="B48" s="398"/>
      <c r="C48" s="137" t="s">
        <v>7</v>
      </c>
      <c r="D48" s="288">
        <v>342744</v>
      </c>
      <c r="E48" s="113">
        <v>41484.9</v>
      </c>
      <c r="F48" s="113">
        <v>456683.9</v>
      </c>
      <c r="G48" s="282">
        <f t="shared" si="14"/>
        <v>0.39235972526713819</v>
      </c>
      <c r="H48" s="282">
        <f t="shared" si="16"/>
        <v>-7.1273517508441452E-3</v>
      </c>
      <c r="I48" s="288">
        <v>41782.699999999997</v>
      </c>
      <c r="J48" s="113">
        <v>456059.7</v>
      </c>
      <c r="K48" s="282">
        <f t="shared" si="15"/>
        <v>0.3770361558188472</v>
      </c>
    </row>
    <row r="49" spans="1:11" ht="11.15" customHeight="1">
      <c r="A49" s="398"/>
      <c r="B49" s="398"/>
      <c r="C49" s="137" t="s">
        <v>90</v>
      </c>
      <c r="D49" s="288">
        <v>30</v>
      </c>
      <c r="E49" s="113">
        <v>1073.502</v>
      </c>
      <c r="F49" s="113">
        <v>11817.580959999999</v>
      </c>
      <c r="G49" s="282">
        <f>E49/$E$50</f>
        <v>1.0153066532490698E-2</v>
      </c>
      <c r="H49" s="282">
        <f t="shared" si="16"/>
        <v>-4.3164903336215366E-2</v>
      </c>
      <c r="I49" s="288">
        <v>1121.93</v>
      </c>
      <c r="J49" s="113">
        <v>12245.904140000001</v>
      </c>
      <c r="K49" s="282">
        <f t="shared" si="15"/>
        <v>1.0124002859983661E-2</v>
      </c>
    </row>
    <row r="50" spans="1:11" ht="11.15" customHeight="1">
      <c r="A50" s="399"/>
      <c r="B50" s="399"/>
      <c r="C50" s="293" t="s">
        <v>0</v>
      </c>
      <c r="D50" s="296">
        <v>367214</v>
      </c>
      <c r="E50" s="294">
        <v>105731.8</v>
      </c>
      <c r="F50" s="294">
        <v>1163942.6239700001</v>
      </c>
      <c r="G50" s="295">
        <f>SUM(G45:G49)</f>
        <v>1</v>
      </c>
      <c r="H50" s="295">
        <f t="shared" ref="H50" si="17">(E50-I50)/I50</f>
        <v>-4.5903892764058027E-2</v>
      </c>
      <c r="I50" s="296">
        <v>110818.81499999999</v>
      </c>
      <c r="J50" s="294">
        <v>1209548.1981200001</v>
      </c>
      <c r="K50" s="295">
        <f>SUM(K45:K49)</f>
        <v>1</v>
      </c>
    </row>
    <row r="51" spans="1:11" ht="11.15" customHeight="1">
      <c r="A51" s="397" t="str">
        <f>'3.1'!F5</f>
        <v>Prosinec</v>
      </c>
      <c r="B51" s="397"/>
      <c r="C51" s="147" t="s">
        <v>4</v>
      </c>
      <c r="D51" s="287">
        <v>170</v>
      </c>
      <c r="E51" s="283">
        <v>37991.576999999997</v>
      </c>
      <c r="F51" s="283">
        <v>417042.00699999998</v>
      </c>
      <c r="G51" s="284">
        <f>E51/$E$56</f>
        <v>0.30810534835382547</v>
      </c>
      <c r="H51" s="284">
        <f>(E51-I51)/I51</f>
        <v>-9.3728465315405698E-2</v>
      </c>
      <c r="I51" s="287">
        <v>41920.743999999999</v>
      </c>
      <c r="J51" s="283">
        <v>456370.95655</v>
      </c>
      <c r="K51" s="284">
        <f>I51/$I$56</f>
        <v>0.32225878489377252</v>
      </c>
    </row>
    <row r="52" spans="1:11" ht="11.15" customHeight="1">
      <c r="A52" s="398"/>
      <c r="B52" s="398"/>
      <c r="C52" s="137" t="s">
        <v>5</v>
      </c>
      <c r="D52" s="288">
        <v>749</v>
      </c>
      <c r="E52" s="113">
        <v>12529.177</v>
      </c>
      <c r="F52" s="113">
        <v>137535.70219000001</v>
      </c>
      <c r="G52" s="282">
        <f t="shared" ref="G52:G55" si="18">E52/$E$56</f>
        <v>0.10160953424417571</v>
      </c>
      <c r="H52" s="282">
        <f t="shared" ref="H52:H55" si="19">(E52-I52)/I52</f>
        <v>-5.326236389846984E-2</v>
      </c>
      <c r="I52" s="288">
        <v>13234.054</v>
      </c>
      <c r="J52" s="113">
        <v>144073.36645</v>
      </c>
      <c r="K52" s="282">
        <f t="shared" ref="K52:K55" si="20">I52/$I$56</f>
        <v>0.10173460092355638</v>
      </c>
    </row>
    <row r="53" spans="1:11" ht="11.15" customHeight="1">
      <c r="A53" s="398"/>
      <c r="B53" s="398"/>
      <c r="C53" s="137" t="s">
        <v>6</v>
      </c>
      <c r="D53" s="288">
        <v>23529</v>
      </c>
      <c r="E53" s="113">
        <v>20735.292000000001</v>
      </c>
      <c r="F53" s="113">
        <v>227615.73744999999</v>
      </c>
      <c r="G53" s="282">
        <f t="shared" si="18"/>
        <v>0.16815975722403659</v>
      </c>
      <c r="H53" s="282">
        <f t="shared" si="19"/>
        <v>-2.3622677551962887E-2</v>
      </c>
      <c r="I53" s="288">
        <v>21236.966</v>
      </c>
      <c r="J53" s="113">
        <v>231196.97344</v>
      </c>
      <c r="K53" s="282">
        <f t="shared" si="20"/>
        <v>0.16325566306720038</v>
      </c>
    </row>
    <row r="54" spans="1:11" ht="11.15" customHeight="1">
      <c r="A54" s="398"/>
      <c r="B54" s="398"/>
      <c r="C54" s="137" t="s">
        <v>7</v>
      </c>
      <c r="D54" s="288">
        <v>342604</v>
      </c>
      <c r="E54" s="113">
        <v>51023.8</v>
      </c>
      <c r="F54" s="113">
        <v>560099.80000000005</v>
      </c>
      <c r="G54" s="282">
        <f t="shared" si="18"/>
        <v>0.41379450169536064</v>
      </c>
      <c r="H54" s="282">
        <f t="shared" si="19"/>
        <v>-3.0585025535019374E-2</v>
      </c>
      <c r="I54" s="288">
        <v>52633.599999999999</v>
      </c>
      <c r="J54" s="113">
        <v>572996.69999999995</v>
      </c>
      <c r="K54" s="282">
        <f t="shared" si="20"/>
        <v>0.40461209325351827</v>
      </c>
    </row>
    <row r="55" spans="1:11" ht="11.15" customHeight="1">
      <c r="A55" s="398"/>
      <c r="B55" s="398"/>
      <c r="C55" s="137" t="s">
        <v>90</v>
      </c>
      <c r="D55" s="288">
        <v>30</v>
      </c>
      <c r="E55" s="113">
        <v>1027.2539999999999</v>
      </c>
      <c r="F55" s="113">
        <v>11276.400030000001</v>
      </c>
      <c r="G55" s="282">
        <f t="shared" si="18"/>
        <v>8.3308584826015681E-3</v>
      </c>
      <c r="H55" s="282">
        <f t="shared" si="19"/>
        <v>-2.9735458131205698E-2</v>
      </c>
      <c r="I55" s="288">
        <v>1058.7360000000001</v>
      </c>
      <c r="J55" s="113">
        <v>11525.954400000001</v>
      </c>
      <c r="K55" s="282">
        <f t="shared" si="20"/>
        <v>8.1388578619523838E-3</v>
      </c>
    </row>
    <row r="56" spans="1:11" ht="11.15" customHeight="1">
      <c r="A56" s="399"/>
      <c r="B56" s="399"/>
      <c r="C56" s="293" t="s">
        <v>0</v>
      </c>
      <c r="D56" s="296">
        <v>367082</v>
      </c>
      <c r="E56" s="294">
        <v>123307.1</v>
      </c>
      <c r="F56" s="294">
        <v>1353569.6466699999</v>
      </c>
      <c r="G56" s="295">
        <f>SUM(G51:G55)</f>
        <v>1</v>
      </c>
      <c r="H56" s="295">
        <f t="shared" ref="H56" si="21">(E56-I56)/I56</f>
        <v>-5.2097066436251623E-2</v>
      </c>
      <c r="I56" s="296">
        <v>130084.1</v>
      </c>
      <c r="J56" s="294">
        <v>1416163.9508399998</v>
      </c>
      <c r="K56" s="295">
        <f>SUM(K51:K55)</f>
        <v>1</v>
      </c>
    </row>
    <row r="57" spans="1:11" ht="11.15" customHeight="1">
      <c r="A57" s="467" t="str">
        <f>'3.1'!G5</f>
        <v>IV. čtvrtletí</v>
      </c>
      <c r="B57" s="397"/>
      <c r="C57" s="147" t="s">
        <v>4</v>
      </c>
      <c r="D57" s="287">
        <f>D51</f>
        <v>170</v>
      </c>
      <c r="E57" s="283">
        <f>E39+E45+E51</f>
        <v>100060.29399999999</v>
      </c>
      <c r="F57" s="283">
        <f>F39+F45+F51</f>
        <v>1101444.9629299999</v>
      </c>
      <c r="G57" s="284">
        <f>E57/$E$62</f>
        <v>0.32831174890623227</v>
      </c>
      <c r="H57" s="284">
        <f>(E57-I57)/I57</f>
        <v>-0.10716336184682554</v>
      </c>
      <c r="I57" s="287">
        <f>I39+I45+I51</f>
        <v>112070.103</v>
      </c>
      <c r="J57" s="283">
        <f>J39+J45+J51</f>
        <v>1223173.34424</v>
      </c>
      <c r="K57" s="284">
        <f>I57/$I$62</f>
        <v>0.35849287685832498</v>
      </c>
    </row>
    <row r="58" spans="1:11" ht="11.15" customHeight="1">
      <c r="A58" s="398"/>
      <c r="B58" s="398"/>
      <c r="C58" s="137" t="s">
        <v>5</v>
      </c>
      <c r="D58" s="288">
        <f>D52</f>
        <v>749</v>
      </c>
      <c r="E58" s="113">
        <f t="shared" ref="E58:F58" si="22">E40+E46+E52</f>
        <v>33429.793000000005</v>
      </c>
      <c r="F58" s="113">
        <f t="shared" si="22"/>
        <v>367990.63300999999</v>
      </c>
      <c r="G58" s="282">
        <f t="shared" ref="G58:G61" si="23">E58/$E$62</f>
        <v>0.10968780289015866</v>
      </c>
      <c r="H58" s="282">
        <f t="shared" ref="H58:H61" si="24">(E58-I58)/I58</f>
        <v>1.7083240335915285E-2</v>
      </c>
      <c r="I58" s="288">
        <f t="shared" ref="I58:J59" si="25">I40+I46+I52</f>
        <v>32868.296000000002</v>
      </c>
      <c r="J58" s="113">
        <f t="shared" si="25"/>
        <v>358662.45347000001</v>
      </c>
      <c r="K58" s="282">
        <f t="shared" ref="K58:K61" si="26">I58/$I$62</f>
        <v>0.10513999429866658</v>
      </c>
    </row>
    <row r="59" spans="1:11" ht="11.15" customHeight="1">
      <c r="A59" s="398"/>
      <c r="B59" s="398"/>
      <c r="C59" s="137" t="s">
        <v>6</v>
      </c>
      <c r="D59" s="288">
        <f>D53</f>
        <v>23529</v>
      </c>
      <c r="E59" s="113">
        <f>E41+E47+E53</f>
        <v>49042.878000000004</v>
      </c>
      <c r="F59" s="113">
        <f t="shared" ref="F59" si="27">F41+F47+F53</f>
        <v>539687.27867000003</v>
      </c>
      <c r="G59" s="282">
        <f t="shared" si="23"/>
        <v>0.16091650747673183</v>
      </c>
      <c r="H59" s="282">
        <f t="shared" si="24"/>
        <v>1.3055691389455596E-2</v>
      </c>
      <c r="I59" s="288">
        <f>I41+I47+I53</f>
        <v>48410.841</v>
      </c>
      <c r="J59" s="113">
        <f t="shared" si="25"/>
        <v>528039.42761999997</v>
      </c>
      <c r="K59" s="282">
        <f t="shared" si="26"/>
        <v>0.15485790765464855</v>
      </c>
    </row>
    <row r="60" spans="1:11" ht="11.15" customHeight="1">
      <c r="A60" s="398"/>
      <c r="B60" s="398"/>
      <c r="C60" s="137" t="s">
        <v>7</v>
      </c>
      <c r="D60" s="288">
        <f>D54</f>
        <v>342604</v>
      </c>
      <c r="E60" s="113">
        <f t="shared" ref="E60:F60" si="28">E42+E48+E54</f>
        <v>119076</v>
      </c>
      <c r="F60" s="113">
        <f t="shared" si="28"/>
        <v>1310322</v>
      </c>
      <c r="G60" s="282">
        <f t="shared" si="23"/>
        <v>0.39070492649920174</v>
      </c>
      <c r="H60" s="282">
        <f t="shared" si="24"/>
        <v>2.6828830817627523E-2</v>
      </c>
      <c r="I60" s="288">
        <f t="shared" ref="I60:J61" si="29">I42+I48+I54</f>
        <v>115964.79999999999</v>
      </c>
      <c r="J60" s="113">
        <f t="shared" si="29"/>
        <v>1265023</v>
      </c>
      <c r="K60" s="282">
        <f t="shared" si="26"/>
        <v>0.3709513389695045</v>
      </c>
    </row>
    <row r="61" spans="1:11" ht="11.15" customHeight="1">
      <c r="A61" s="398"/>
      <c r="B61" s="398"/>
      <c r="C61" s="137" t="s">
        <v>90</v>
      </c>
      <c r="D61" s="288">
        <f>D55</f>
        <v>30</v>
      </c>
      <c r="E61" s="113">
        <f>E43+E49+E55</f>
        <v>3163.2349999999997</v>
      </c>
      <c r="F61" s="113">
        <f t="shared" ref="F61" si="30">F43+F49+F55</f>
        <v>34833.165980000005</v>
      </c>
      <c r="G61" s="282">
        <f t="shared" si="23"/>
        <v>1.0379014227675622E-2</v>
      </c>
      <c r="H61" s="282">
        <f t="shared" si="24"/>
        <v>-4.1603091365433893E-2</v>
      </c>
      <c r="I61" s="288">
        <f>I43+I49+I55</f>
        <v>3300.5479999999998</v>
      </c>
      <c r="J61" s="113">
        <f t="shared" si="29"/>
        <v>36035.117859999998</v>
      </c>
      <c r="K61" s="282">
        <f t="shared" si="26"/>
        <v>1.0557882218855378E-2</v>
      </c>
    </row>
    <row r="62" spans="1:11" ht="11.15" customHeight="1">
      <c r="A62" s="399"/>
      <c r="B62" s="399"/>
      <c r="C62" s="293" t="s">
        <v>0</v>
      </c>
      <c r="D62" s="296">
        <f>SUM(D57:D61)</f>
        <v>367082</v>
      </c>
      <c r="E62" s="294">
        <f>SUM(E57:E61)</f>
        <v>304772.19999999995</v>
      </c>
      <c r="F62" s="294">
        <f>SUM(F57:F61)</f>
        <v>3354278.0405899999</v>
      </c>
      <c r="G62" s="295">
        <f>SUM(G57:G61)</f>
        <v>1.0000000000000002</v>
      </c>
      <c r="H62" s="295">
        <f>(E62-I62)/I62</f>
        <v>-2.5086442862992803E-2</v>
      </c>
      <c r="I62" s="296">
        <f>SUM(I57:I61)</f>
        <v>312614.58799999999</v>
      </c>
      <c r="J62" s="294">
        <f>SUM(J57:J61)</f>
        <v>3410933.3431899999</v>
      </c>
      <c r="K62" s="295">
        <f>SUM(K57:K61)</f>
        <v>1</v>
      </c>
    </row>
    <row r="63" spans="1:11" ht="15" customHeight="1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1" ht="15" customHeight="1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D34:D35"/>
    <mergeCell ref="I34:K35"/>
    <mergeCell ref="H36:H38"/>
    <mergeCell ref="G36:G38"/>
    <mergeCell ref="K36:K38"/>
    <mergeCell ref="A45:B50"/>
    <mergeCell ref="E36:F37"/>
    <mergeCell ref="I36:J37"/>
    <mergeCell ref="A51:B56"/>
    <mergeCell ref="A57:B62"/>
    <mergeCell ref="A39:B44"/>
    <mergeCell ref="A38:B38"/>
    <mergeCell ref="A9:B14"/>
    <mergeCell ref="A15:B20"/>
    <mergeCell ref="A21:B26"/>
    <mergeCell ref="A27:B32"/>
    <mergeCell ref="A34:C34"/>
    <mergeCell ref="A2:K2"/>
    <mergeCell ref="A8:B8"/>
    <mergeCell ref="H6:H8"/>
    <mergeCell ref="A3:C3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24"/>
  <dimension ref="A1:T120"/>
  <sheetViews>
    <sheetView showGridLines="0" topLeftCell="A15" zoomScaleNormal="100" zoomScaleSheetLayoutView="100" workbookViewId="0">
      <selection activeCell="G1" sqref="G1"/>
    </sheetView>
  </sheetViews>
  <sheetFormatPr defaultColWidth="9.1796875" defaultRowHeight="12.5"/>
  <cols>
    <col min="1" max="1" width="9.453125" style="67" customWidth="1"/>
    <col min="2" max="2" width="3.81640625" style="67" customWidth="1"/>
    <col min="3" max="11" width="9.54296875" style="67" customWidth="1"/>
    <col min="12" max="13" width="9.1796875" style="67"/>
    <col min="14" max="14" width="11.1796875" style="67" customWidth="1"/>
    <col min="15" max="16384" width="9.1796875" style="67"/>
  </cols>
  <sheetData>
    <row r="1" spans="1:16" s="91" customFormat="1" ht="18">
      <c r="A1" s="471" t="s">
        <v>288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</row>
    <row r="2" spans="1:16" s="91" customFormat="1" ht="3" customHeight="1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6" ht="3" customHeight="1">
      <c r="A3" s="491"/>
      <c r="B3" s="491"/>
      <c r="C3" s="491"/>
      <c r="D3" s="275"/>
      <c r="E3" s="275"/>
      <c r="F3" s="276"/>
      <c r="G3" s="277"/>
      <c r="H3" s="277"/>
      <c r="I3" s="277"/>
    </row>
    <row r="4" spans="1:16" ht="13" customHeight="1">
      <c r="A4" s="463" t="s">
        <v>36</v>
      </c>
      <c r="B4" s="463"/>
      <c r="C4" s="463"/>
      <c r="D4" s="457">
        <f>'3.1'!A4</f>
        <v>2025</v>
      </c>
      <c r="E4" s="328"/>
      <c r="F4" s="317"/>
      <c r="G4" s="317"/>
      <c r="H4" s="317"/>
      <c r="I4" s="457">
        <f>D4-1</f>
        <v>2024</v>
      </c>
      <c r="J4" s="458"/>
      <c r="K4" s="458"/>
    </row>
    <row r="5" spans="1:16" ht="25" customHeight="1">
      <c r="A5" s="133"/>
      <c r="B5" s="133"/>
      <c r="C5" s="133"/>
      <c r="D5" s="459"/>
      <c r="E5" s="329"/>
      <c r="F5" s="330"/>
      <c r="G5" s="330"/>
      <c r="H5" s="331"/>
      <c r="I5" s="459"/>
      <c r="J5" s="460"/>
      <c r="K5" s="460"/>
    </row>
    <row r="6" spans="1:16" ht="25" customHeight="1">
      <c r="A6" s="279"/>
      <c r="B6" s="253"/>
      <c r="C6" s="280"/>
      <c r="D6" s="338" t="s">
        <v>156</v>
      </c>
      <c r="E6" s="455" t="s">
        <v>59</v>
      </c>
      <c r="F6" s="455"/>
      <c r="G6" s="456" t="s">
        <v>32</v>
      </c>
      <c r="H6" s="456" t="s">
        <v>256</v>
      </c>
      <c r="I6" s="453" t="s">
        <v>59</v>
      </c>
      <c r="J6" s="454"/>
      <c r="K6" s="456" t="s">
        <v>32</v>
      </c>
    </row>
    <row r="7" spans="1:16" ht="25" customHeight="1">
      <c r="A7" s="279"/>
      <c r="B7" s="281"/>
      <c r="D7" s="339"/>
      <c r="E7" s="455"/>
      <c r="F7" s="455"/>
      <c r="G7" s="456"/>
      <c r="H7" s="456"/>
      <c r="I7" s="453"/>
      <c r="J7" s="454"/>
      <c r="K7" s="456"/>
    </row>
    <row r="8" spans="1:16" ht="15" customHeight="1">
      <c r="A8" s="464" t="s">
        <v>155</v>
      </c>
      <c r="B8" s="464"/>
      <c r="C8" s="298" t="s">
        <v>180</v>
      </c>
      <c r="D8" s="318"/>
      <c r="E8" s="201" t="s">
        <v>247</v>
      </c>
      <c r="F8" s="201" t="s">
        <v>248</v>
      </c>
      <c r="G8" s="442"/>
      <c r="H8" s="442"/>
      <c r="I8" s="203" t="s">
        <v>247</v>
      </c>
      <c r="J8" s="201" t="s">
        <v>248</v>
      </c>
      <c r="K8" s="442"/>
    </row>
    <row r="9" spans="1:16" ht="11.15" customHeight="1">
      <c r="A9" s="397" t="str">
        <f>'3.1'!D5</f>
        <v>Říjen</v>
      </c>
      <c r="B9" s="397"/>
      <c r="C9" s="147" t="s">
        <v>4</v>
      </c>
      <c r="D9" s="287">
        <v>49</v>
      </c>
      <c r="E9" s="283">
        <v>15373.913</v>
      </c>
      <c r="F9" s="283">
        <v>169863.76670000001</v>
      </c>
      <c r="G9" s="284">
        <f>E9/$E$14</f>
        <v>0.65345272705634339</v>
      </c>
      <c r="H9" s="284">
        <f>(E9-I9)/I9</f>
        <v>0.71207461542693307</v>
      </c>
      <c r="I9" s="287">
        <v>8979.6980000000003</v>
      </c>
      <c r="J9" s="283">
        <v>98332.168430000005</v>
      </c>
      <c r="K9" s="284">
        <f>I9/$I$14</f>
        <v>0.56253902824065949</v>
      </c>
    </row>
    <row r="10" spans="1:16" ht="11.15" customHeight="1">
      <c r="A10" s="398"/>
      <c r="B10" s="398"/>
      <c r="C10" s="137" t="s">
        <v>5</v>
      </c>
      <c r="D10" s="288">
        <v>151</v>
      </c>
      <c r="E10" s="113">
        <v>1549.222</v>
      </c>
      <c r="F10" s="113">
        <v>17117.263480000001</v>
      </c>
      <c r="G10" s="282">
        <f>E10/$E$14</f>
        <v>6.5848124723724033E-2</v>
      </c>
      <c r="H10" s="282">
        <f>(E10-I10)/I10</f>
        <v>7.2829044363330056E-2</v>
      </c>
      <c r="I10" s="288">
        <v>1444.0530000000001</v>
      </c>
      <c r="J10" s="113">
        <v>15812.771699999999</v>
      </c>
      <c r="K10" s="282">
        <f>I10/$I$14</f>
        <v>9.0463640464078982E-2</v>
      </c>
      <c r="L10" s="68"/>
      <c r="N10" s="68"/>
      <c r="O10" s="68"/>
      <c r="P10" s="68"/>
    </row>
    <row r="11" spans="1:16" ht="11.15" customHeight="1">
      <c r="A11" s="398"/>
      <c r="B11" s="398"/>
      <c r="C11" s="137" t="s">
        <v>6</v>
      </c>
      <c r="D11" s="288">
        <v>5744</v>
      </c>
      <c r="E11" s="113">
        <v>2764.6149999999998</v>
      </c>
      <c r="F11" s="113">
        <v>30546.221519999999</v>
      </c>
      <c r="G11" s="282">
        <f>E11/$E$14</f>
        <v>0.11750718317521848</v>
      </c>
      <c r="H11" s="282">
        <f t="shared" ref="H11:H13" si="0">(E11-I11)/I11</f>
        <v>0.19068056116643492</v>
      </c>
      <c r="I11" s="288">
        <v>2321.8780000000002</v>
      </c>
      <c r="J11" s="113">
        <v>25425.524669999999</v>
      </c>
      <c r="K11" s="282">
        <f>I11/$I$14</f>
        <v>0.14545555917508207</v>
      </c>
      <c r="L11" s="68"/>
      <c r="N11" s="68"/>
      <c r="O11" s="68"/>
      <c r="P11" s="68"/>
    </row>
    <row r="12" spans="1:16" ht="11.15" customHeight="1">
      <c r="A12" s="398"/>
      <c r="B12" s="398"/>
      <c r="C12" s="137" t="s">
        <v>7</v>
      </c>
      <c r="D12" s="288">
        <v>74812</v>
      </c>
      <c r="E12" s="113">
        <v>3515.1</v>
      </c>
      <c r="F12" s="113">
        <v>38838.1</v>
      </c>
      <c r="G12" s="282">
        <f>E12/$E$14</f>
        <v>0.14940579414464961</v>
      </c>
      <c r="H12" s="282">
        <f t="shared" si="0"/>
        <v>0.23289256778085651</v>
      </c>
      <c r="I12" s="288">
        <v>2851.1</v>
      </c>
      <c r="J12" s="113">
        <v>31220.799999999999</v>
      </c>
      <c r="K12" s="282">
        <f>I12/$I$14</f>
        <v>0.1786090159621119</v>
      </c>
      <c r="L12" s="68"/>
      <c r="N12" s="68"/>
      <c r="O12" s="68"/>
      <c r="P12" s="68"/>
    </row>
    <row r="13" spans="1:16" ht="11.15" customHeight="1">
      <c r="A13" s="398"/>
      <c r="B13" s="398"/>
      <c r="C13" s="137" t="s">
        <v>90</v>
      </c>
      <c r="D13" s="288">
        <v>11</v>
      </c>
      <c r="E13" s="113">
        <v>324.35000000000002</v>
      </c>
      <c r="F13" s="113">
        <v>3583.7053099999998</v>
      </c>
      <c r="G13" s="282">
        <f>E13/$E$14</f>
        <v>1.3786170900064608E-2</v>
      </c>
      <c r="H13" s="282">
        <f t="shared" si="0"/>
        <v>-0.11396969440354467</v>
      </c>
      <c r="I13" s="288">
        <v>366.07100000000003</v>
      </c>
      <c r="J13" s="113">
        <v>4008.6592999999998</v>
      </c>
      <c r="K13" s="282">
        <f>I13/$I$14</f>
        <v>2.2932756158067506E-2</v>
      </c>
      <c r="L13" s="68"/>
      <c r="N13" s="68"/>
      <c r="O13" s="68"/>
      <c r="P13" s="68"/>
    </row>
    <row r="14" spans="1:16" ht="11.15" customHeight="1">
      <c r="A14" s="399"/>
      <c r="B14" s="399"/>
      <c r="C14" s="293" t="s">
        <v>0</v>
      </c>
      <c r="D14" s="296">
        <v>80767</v>
      </c>
      <c r="E14" s="294">
        <v>23527.199999999997</v>
      </c>
      <c r="F14" s="294">
        <v>259949.05700999999</v>
      </c>
      <c r="G14" s="295">
        <f>SUM(G9:G13)</f>
        <v>1</v>
      </c>
      <c r="H14" s="295">
        <f>(E14-I14)/I14</f>
        <v>0.47387676347507929</v>
      </c>
      <c r="I14" s="296">
        <v>15962.800000000001</v>
      </c>
      <c r="J14" s="294">
        <v>174799.9241</v>
      </c>
      <c r="K14" s="295">
        <f>SUM(K9:K13)</f>
        <v>0.99999999999999989</v>
      </c>
      <c r="L14" s="68"/>
    </row>
    <row r="15" spans="1:16" ht="11.15" customHeight="1">
      <c r="A15" s="397" t="str">
        <f>'3.1'!E5</f>
        <v>Listopad</v>
      </c>
      <c r="B15" s="397"/>
      <c r="C15" s="147" t="s">
        <v>4</v>
      </c>
      <c r="D15" s="287">
        <v>49</v>
      </c>
      <c r="E15" s="283">
        <v>12986.145</v>
      </c>
      <c r="F15" s="283">
        <v>142957.62758999999</v>
      </c>
      <c r="G15" s="284">
        <f>E15/$E$20</f>
        <v>0.51628407631663698</v>
      </c>
      <c r="H15" s="284">
        <f>(E15-I15)/I15</f>
        <v>-7.0303087402632872E-2</v>
      </c>
      <c r="I15" s="287">
        <v>13968.148999999999</v>
      </c>
      <c r="J15" s="283">
        <v>152462.6624</v>
      </c>
      <c r="K15" s="284">
        <f>I15/$I$20</f>
        <v>0.52976879752716521</v>
      </c>
      <c r="L15" s="68"/>
      <c r="M15" s="68"/>
    </row>
    <row r="16" spans="1:16" ht="11.15" customHeight="1">
      <c r="A16" s="398"/>
      <c r="B16" s="398"/>
      <c r="C16" s="137" t="s">
        <v>5</v>
      </c>
      <c r="D16" s="288">
        <v>151</v>
      </c>
      <c r="E16" s="113">
        <v>2088.3780000000002</v>
      </c>
      <c r="F16" s="113">
        <v>22989.884669999999</v>
      </c>
      <c r="G16" s="282">
        <f>E16/$E$20</f>
        <v>8.3026664705344477E-2</v>
      </c>
      <c r="H16" s="282">
        <f>(E16-I16)/I16</f>
        <v>-3.4729132915648712E-2</v>
      </c>
      <c r="I16" s="288">
        <v>2163.5149999999999</v>
      </c>
      <c r="J16" s="113">
        <v>23614.95289</v>
      </c>
      <c r="K16" s="282">
        <f>I16/$I$20</f>
        <v>8.2055449149488938E-2</v>
      </c>
      <c r="L16" s="86"/>
      <c r="M16" s="68"/>
    </row>
    <row r="17" spans="1:20" ht="11.15" customHeight="1">
      <c r="A17" s="398"/>
      <c r="B17" s="398"/>
      <c r="C17" s="137" t="s">
        <v>6</v>
      </c>
      <c r="D17" s="288">
        <v>5746</v>
      </c>
      <c r="E17" s="113">
        <v>4276.1639999999998</v>
      </c>
      <c r="F17" s="113">
        <v>47073.64675</v>
      </c>
      <c r="G17" s="282">
        <f>E17/$E$20</f>
        <v>0.17000544664474757</v>
      </c>
      <c r="H17" s="282">
        <f t="shared" ref="H17:H20" si="1">(E17-I17)/I17</f>
        <v>-1.7099875464250847E-2</v>
      </c>
      <c r="I17" s="288">
        <v>4350.558</v>
      </c>
      <c r="J17" s="113">
        <v>47486.964039999999</v>
      </c>
      <c r="K17" s="282">
        <f>I17/$I$20</f>
        <v>0.16500324275121842</v>
      </c>
      <c r="L17" s="68"/>
      <c r="M17" s="68"/>
      <c r="N17" s="68"/>
      <c r="O17" s="68"/>
    </row>
    <row r="18" spans="1:20" ht="11.15" customHeight="1">
      <c r="A18" s="398"/>
      <c r="B18" s="398"/>
      <c r="C18" s="137" t="s">
        <v>7</v>
      </c>
      <c r="D18" s="288">
        <v>74773</v>
      </c>
      <c r="E18" s="113">
        <v>5488.9</v>
      </c>
      <c r="F18" s="113">
        <v>60423.9</v>
      </c>
      <c r="G18" s="282">
        <f>E18/$E$20</f>
        <v>0.21821962302857301</v>
      </c>
      <c r="H18" s="282">
        <f t="shared" si="1"/>
        <v>-7.1269648897492079E-3</v>
      </c>
      <c r="I18" s="288">
        <v>5528.3</v>
      </c>
      <c r="J18" s="113">
        <v>60341.3</v>
      </c>
      <c r="K18" s="282">
        <f>I18/$I$20</f>
        <v>0.20967136328295377</v>
      </c>
      <c r="L18" s="68"/>
      <c r="M18" s="68"/>
      <c r="N18" s="68"/>
      <c r="O18" s="68"/>
    </row>
    <row r="19" spans="1:20" ht="11.15" customHeight="1">
      <c r="A19" s="398"/>
      <c r="B19" s="398"/>
      <c r="C19" s="137" t="s">
        <v>90</v>
      </c>
      <c r="D19" s="288">
        <v>11</v>
      </c>
      <c r="E19" s="113">
        <v>313.51299999999998</v>
      </c>
      <c r="F19" s="113">
        <v>3451.2930000000001</v>
      </c>
      <c r="G19" s="282">
        <f>E19/$E$20</f>
        <v>1.2464189304698029E-2</v>
      </c>
      <c r="H19" s="282">
        <f t="shared" si="1"/>
        <v>-0.11929107978582955</v>
      </c>
      <c r="I19" s="288">
        <v>355.97800000000001</v>
      </c>
      <c r="J19" s="113">
        <v>3885.5119399999999</v>
      </c>
      <c r="K19" s="282">
        <f>I19/$I$20</f>
        <v>1.3501147289173765E-2</v>
      </c>
      <c r="L19" s="68"/>
      <c r="M19" s="68"/>
      <c r="N19" s="68"/>
      <c r="O19" s="68"/>
    </row>
    <row r="20" spans="1:20" ht="11.15" customHeight="1">
      <c r="A20" s="399"/>
      <c r="B20" s="399"/>
      <c r="C20" s="293" t="s">
        <v>0</v>
      </c>
      <c r="D20" s="296">
        <v>80730</v>
      </c>
      <c r="E20" s="294">
        <v>25153.1</v>
      </c>
      <c r="F20" s="294">
        <v>276896.35201000003</v>
      </c>
      <c r="G20" s="295">
        <f>SUM(G15:G19)</f>
        <v>1</v>
      </c>
      <c r="H20" s="295">
        <f t="shared" si="1"/>
        <v>-4.6020518460925718E-2</v>
      </c>
      <c r="I20" s="296">
        <v>26366.499999999996</v>
      </c>
      <c r="J20" s="294">
        <v>287791.39126999996</v>
      </c>
      <c r="K20" s="295">
        <f>SUM(K15:K19)</f>
        <v>1.0000000000000002</v>
      </c>
      <c r="L20" s="68"/>
      <c r="M20" s="68"/>
      <c r="N20" s="68"/>
      <c r="O20" s="68"/>
    </row>
    <row r="21" spans="1:20" ht="11.15" customHeight="1">
      <c r="A21" s="397" t="str">
        <f>'3.1'!F5</f>
        <v>Prosinec</v>
      </c>
      <c r="B21" s="397"/>
      <c r="C21" s="147" t="s">
        <v>4</v>
      </c>
      <c r="D21" s="287">
        <v>49</v>
      </c>
      <c r="E21" s="283">
        <v>14665.656999999999</v>
      </c>
      <c r="F21" s="283">
        <v>160988.03086999999</v>
      </c>
      <c r="G21" s="284">
        <f>E21/$E$26</f>
        <v>0.5019700371711584</v>
      </c>
      <c r="H21" s="284">
        <f>(E21-I21)/I21</f>
        <v>6.46532445786967E-2</v>
      </c>
      <c r="I21" s="287">
        <v>13775.055</v>
      </c>
      <c r="J21" s="283">
        <v>149962.47805999999</v>
      </c>
      <c r="K21" s="284">
        <f>I21/$I$26</f>
        <v>0.47784590355009471</v>
      </c>
      <c r="L21" s="78"/>
      <c r="M21" s="78"/>
      <c r="N21" s="78"/>
      <c r="O21" s="78"/>
      <c r="P21" s="78"/>
      <c r="Q21" s="78"/>
      <c r="R21" s="78"/>
      <c r="S21" s="78"/>
      <c r="T21" s="78"/>
    </row>
    <row r="22" spans="1:20" ht="11.15" customHeight="1">
      <c r="A22" s="398"/>
      <c r="B22" s="398"/>
      <c r="C22" s="137" t="s">
        <v>5</v>
      </c>
      <c r="D22" s="288">
        <v>152</v>
      </c>
      <c r="E22" s="113">
        <v>2326.0210000000002</v>
      </c>
      <c r="F22" s="113">
        <v>25533.039560000001</v>
      </c>
      <c r="G22" s="282">
        <f>E22/$E$26</f>
        <v>7.9614083967114141E-2</v>
      </c>
      <c r="H22" s="282">
        <f t="shared" ref="H22:H26" si="2">(E22-I22)/I22</f>
        <v>-6.1248729710684784E-2</v>
      </c>
      <c r="I22" s="288">
        <v>2477.7820000000002</v>
      </c>
      <c r="J22" s="113">
        <v>26974.640609999999</v>
      </c>
      <c r="K22" s="282">
        <f>I22/$I$26</f>
        <v>8.5952323137015479E-2</v>
      </c>
      <c r="L22" s="78"/>
      <c r="M22" s="78"/>
      <c r="N22" s="78"/>
      <c r="O22" s="78"/>
      <c r="P22" s="78"/>
      <c r="Q22" s="78"/>
      <c r="R22" s="78"/>
      <c r="S22" s="78"/>
      <c r="T22" s="78"/>
    </row>
    <row r="23" spans="1:20" ht="11.15" customHeight="1">
      <c r="A23" s="398"/>
      <c r="B23" s="398"/>
      <c r="C23" s="137" t="s">
        <v>6</v>
      </c>
      <c r="D23" s="288">
        <v>5749</v>
      </c>
      <c r="E23" s="113">
        <v>5132.2049999999999</v>
      </c>
      <c r="F23" s="113">
        <v>56337.281239999997</v>
      </c>
      <c r="G23" s="282">
        <f>E23/$E$26</f>
        <v>0.17566298834208419</v>
      </c>
      <c r="H23" s="282">
        <f t="shared" si="2"/>
        <v>-2.3175064322837342E-2</v>
      </c>
      <c r="I23" s="288">
        <v>5253.9660000000003</v>
      </c>
      <c r="J23" s="113">
        <v>57197.758139999998</v>
      </c>
      <c r="K23" s="282">
        <f>I23/$I$26</f>
        <v>0.18225597868694368</v>
      </c>
      <c r="L23" s="78"/>
      <c r="M23" s="78"/>
      <c r="N23" s="78"/>
      <c r="O23" s="78"/>
      <c r="P23" s="78"/>
      <c r="Q23" s="78"/>
      <c r="R23" s="78"/>
      <c r="S23" s="78"/>
      <c r="T23" s="78"/>
    </row>
    <row r="24" spans="1:20" ht="11.15" customHeight="1">
      <c r="A24" s="398"/>
      <c r="B24" s="398"/>
      <c r="C24" s="137" t="s">
        <v>7</v>
      </c>
      <c r="D24" s="288">
        <v>74742</v>
      </c>
      <c r="E24" s="113">
        <v>6751</v>
      </c>
      <c r="F24" s="113">
        <v>74106.899999999994</v>
      </c>
      <c r="G24" s="282">
        <f>E24/$E$26</f>
        <v>0.23107043352660508</v>
      </c>
      <c r="H24" s="282">
        <f t="shared" si="2"/>
        <v>-3.0585870189546237E-2</v>
      </c>
      <c r="I24" s="288">
        <v>6964</v>
      </c>
      <c r="J24" s="113">
        <v>75813.3</v>
      </c>
      <c r="K24" s="282">
        <f>I24/$I$26</f>
        <v>0.24157572309677597</v>
      </c>
      <c r="L24" s="78"/>
      <c r="M24" s="78"/>
      <c r="N24" s="78"/>
      <c r="O24" s="78"/>
      <c r="P24" s="78"/>
      <c r="Q24" s="78"/>
      <c r="R24" s="78"/>
      <c r="S24" s="78"/>
      <c r="T24" s="78"/>
    </row>
    <row r="25" spans="1:20" ht="11.15" customHeight="1">
      <c r="A25" s="398"/>
      <c r="B25" s="398"/>
      <c r="C25" s="137" t="s">
        <v>90</v>
      </c>
      <c r="D25" s="288">
        <v>11</v>
      </c>
      <c r="E25" s="113">
        <v>341.31700000000001</v>
      </c>
      <c r="F25" s="113">
        <v>3746.71866</v>
      </c>
      <c r="G25" s="282">
        <f>E25/$E$26</f>
        <v>1.1682456993038109E-2</v>
      </c>
      <c r="H25" s="282">
        <f t="shared" si="2"/>
        <v>-4.284949116229237E-2</v>
      </c>
      <c r="I25" s="288">
        <v>356.59699999999998</v>
      </c>
      <c r="J25" s="113">
        <v>3882.0978399999999</v>
      </c>
      <c r="K25" s="282">
        <f>I25/$I$26</f>
        <v>1.2370071529170162E-2</v>
      </c>
      <c r="L25" s="78"/>
      <c r="M25" s="78"/>
      <c r="N25" s="78"/>
      <c r="O25" s="78"/>
      <c r="P25" s="78"/>
      <c r="Q25" s="78"/>
      <c r="R25" s="78"/>
      <c r="S25" s="78"/>
      <c r="T25" s="78"/>
    </row>
    <row r="26" spans="1:20" ht="11.15" customHeight="1">
      <c r="A26" s="399"/>
      <c r="B26" s="399"/>
      <c r="C26" s="293" t="s">
        <v>0</v>
      </c>
      <c r="D26" s="296">
        <v>80703</v>
      </c>
      <c r="E26" s="294">
        <v>29216.2</v>
      </c>
      <c r="F26" s="294">
        <v>320711.97033000004</v>
      </c>
      <c r="G26" s="295">
        <f>SUM(G21:G25)</f>
        <v>0.99999999999999989</v>
      </c>
      <c r="H26" s="295">
        <f t="shared" si="2"/>
        <v>1.3487168457786664E-2</v>
      </c>
      <c r="I26" s="296">
        <v>28827.4</v>
      </c>
      <c r="J26" s="294">
        <v>313830.27464999998</v>
      </c>
      <c r="K26" s="295">
        <f>SUM(K21:K25)</f>
        <v>1</v>
      </c>
    </row>
    <row r="27" spans="1:20" ht="11.15" customHeight="1">
      <c r="A27" s="467" t="str">
        <f>'3.1'!G5</f>
        <v>IV. čtvrtletí</v>
      </c>
      <c r="B27" s="397"/>
      <c r="C27" s="147" t="s">
        <v>4</v>
      </c>
      <c r="D27" s="287">
        <f>D21</f>
        <v>49</v>
      </c>
      <c r="E27" s="283">
        <f>E9+E15+E21</f>
        <v>43025.714999999997</v>
      </c>
      <c r="F27" s="283">
        <f>F9+F15+F21</f>
        <v>473809.42515999998</v>
      </c>
      <c r="G27" s="284">
        <f>E27/$E$32</f>
        <v>0.55234464963124152</v>
      </c>
      <c r="H27" s="284">
        <f>(E27-I27)/I27</f>
        <v>0.17163167006790461</v>
      </c>
      <c r="I27" s="287">
        <f>I9+I15+I21</f>
        <v>36722.902000000002</v>
      </c>
      <c r="J27" s="283">
        <f>J9+J15+J21</f>
        <v>400757.30888999999</v>
      </c>
      <c r="K27" s="284">
        <f>I27/$I$32</f>
        <v>0.51608495053874059</v>
      </c>
    </row>
    <row r="28" spans="1:20" ht="11.15" customHeight="1">
      <c r="A28" s="398"/>
      <c r="B28" s="398"/>
      <c r="C28" s="137" t="s">
        <v>5</v>
      </c>
      <c r="D28" s="288">
        <f>D22</f>
        <v>152</v>
      </c>
      <c r="E28" s="113">
        <f t="shared" ref="E28:F31" si="3">E10+E16+E22</f>
        <v>5963.621000000001</v>
      </c>
      <c r="F28" s="113">
        <f t="shared" si="3"/>
        <v>65640.187709999998</v>
      </c>
      <c r="G28" s="282">
        <f>E28/$E$32</f>
        <v>7.6558266417618273E-2</v>
      </c>
      <c r="H28" s="282">
        <f t="shared" ref="H28:H31" si="4">(E28-I28)/I28</f>
        <v>-2.0003615239879275E-2</v>
      </c>
      <c r="I28" s="288">
        <f t="shared" ref="I28:J28" si="5">I10+I16+I22</f>
        <v>6085.35</v>
      </c>
      <c r="J28" s="113">
        <f t="shared" si="5"/>
        <v>66402.3652</v>
      </c>
      <c r="K28" s="282">
        <f>I28/$I$32</f>
        <v>8.552040777607732E-2</v>
      </c>
    </row>
    <row r="29" spans="1:20" ht="11.15" customHeight="1">
      <c r="A29" s="398"/>
      <c r="B29" s="398"/>
      <c r="C29" s="137" t="s">
        <v>6</v>
      </c>
      <c r="D29" s="288">
        <f>D23</f>
        <v>5749</v>
      </c>
      <c r="E29" s="113">
        <f t="shared" si="3"/>
        <v>12172.984</v>
      </c>
      <c r="F29" s="113">
        <f t="shared" si="3"/>
        <v>133957.14951000002</v>
      </c>
      <c r="G29" s="282">
        <f>E29/$E$32</f>
        <v>0.15627125737356623</v>
      </c>
      <c r="H29" s="282">
        <f t="shared" si="4"/>
        <v>2.067530509201353E-2</v>
      </c>
      <c r="I29" s="288">
        <f t="shared" ref="I29:J29" si="6">I11+I17+I23</f>
        <v>11926.402</v>
      </c>
      <c r="J29" s="113">
        <f t="shared" si="6"/>
        <v>130110.24685</v>
      </c>
      <c r="K29" s="282">
        <f>I29/$I$32</f>
        <v>0.16760757595560222</v>
      </c>
    </row>
    <row r="30" spans="1:20" ht="11.15" customHeight="1">
      <c r="A30" s="398"/>
      <c r="B30" s="398"/>
      <c r="C30" s="137" t="s">
        <v>7</v>
      </c>
      <c r="D30" s="288">
        <f>D24</f>
        <v>74742</v>
      </c>
      <c r="E30" s="113">
        <f t="shared" si="3"/>
        <v>15755</v>
      </c>
      <c r="F30" s="113">
        <f t="shared" si="3"/>
        <v>173368.9</v>
      </c>
      <c r="G30" s="282">
        <f>E30/$E$32</f>
        <v>0.20225555705326945</v>
      </c>
      <c r="H30" s="282">
        <f t="shared" si="4"/>
        <v>2.682586649634373E-2</v>
      </c>
      <c r="I30" s="288">
        <f t="shared" ref="I30:J30" si="7">I12+I18+I24</f>
        <v>15343.4</v>
      </c>
      <c r="J30" s="113">
        <f t="shared" si="7"/>
        <v>167375.40000000002</v>
      </c>
      <c r="K30" s="282">
        <f>I30/$I$32</f>
        <v>0.21562832452882161</v>
      </c>
    </row>
    <row r="31" spans="1:20" ht="11.15" customHeight="1">
      <c r="A31" s="398"/>
      <c r="B31" s="398"/>
      <c r="C31" s="137" t="s">
        <v>90</v>
      </c>
      <c r="D31" s="288">
        <f>D25</f>
        <v>11</v>
      </c>
      <c r="E31" s="113">
        <f>E13+E19+E25</f>
        <v>979.18000000000006</v>
      </c>
      <c r="F31" s="113">
        <f t="shared" si="3"/>
        <v>10781.716969999999</v>
      </c>
      <c r="G31" s="282">
        <f>E31/$E$32</f>
        <v>1.257026952430469E-2</v>
      </c>
      <c r="H31" s="282">
        <f t="shared" si="4"/>
        <v>-9.2213756876676781E-2</v>
      </c>
      <c r="I31" s="288">
        <f>I13+I19+I25</f>
        <v>1078.646</v>
      </c>
      <c r="J31" s="113">
        <f t="shared" ref="J31" si="8">J13+J19+J25</f>
        <v>11776.26908</v>
      </c>
      <c r="K31" s="282">
        <f>I31/$I$32</f>
        <v>1.5158741200758327E-2</v>
      </c>
    </row>
    <row r="32" spans="1:20" ht="11.15" customHeight="1">
      <c r="A32" s="399"/>
      <c r="B32" s="399"/>
      <c r="C32" s="293" t="s">
        <v>0</v>
      </c>
      <c r="D32" s="296">
        <f>SUM(D27:D31)</f>
        <v>80703</v>
      </c>
      <c r="E32" s="294">
        <f>SUM(E27:E31)</f>
        <v>77896.499999999985</v>
      </c>
      <c r="F32" s="294">
        <f>SUM(F27:F31)</f>
        <v>857557.37934999994</v>
      </c>
      <c r="G32" s="295">
        <f>SUM(G27:G31)</f>
        <v>1.0000000000000002</v>
      </c>
      <c r="H32" s="295">
        <f>(E32-I32)/I32</f>
        <v>9.4717714565177816E-2</v>
      </c>
      <c r="I32" s="296">
        <f>SUM(I27:I31)</f>
        <v>71156.7</v>
      </c>
      <c r="J32" s="294">
        <f>SUM(J27:J31)</f>
        <v>776421.59002</v>
      </c>
      <c r="K32" s="295">
        <f>SUM(K27:K31)</f>
        <v>1</v>
      </c>
    </row>
    <row r="33" spans="1:11" ht="10" customHeight="1">
      <c r="A33" s="332"/>
      <c r="B33" s="333"/>
      <c r="C33" s="334"/>
      <c r="D33" s="335"/>
      <c r="E33" s="335"/>
      <c r="F33" s="335"/>
      <c r="G33" s="336"/>
      <c r="H33" s="337"/>
      <c r="I33" s="335"/>
      <c r="J33" s="335"/>
      <c r="K33" s="336"/>
    </row>
    <row r="34" spans="1:11" ht="13" customHeight="1">
      <c r="A34" s="492" t="s">
        <v>37</v>
      </c>
      <c r="B34" s="492"/>
      <c r="C34" s="492"/>
      <c r="D34" s="457">
        <f>D4</f>
        <v>2025</v>
      </c>
      <c r="E34" s="328"/>
      <c r="F34" s="317"/>
      <c r="G34" s="317"/>
      <c r="H34" s="317"/>
      <c r="I34" s="457">
        <f>D34-1</f>
        <v>2024</v>
      </c>
      <c r="J34" s="458"/>
      <c r="K34" s="458"/>
    </row>
    <row r="35" spans="1:11" ht="25" customHeight="1">
      <c r="A35" s="279"/>
      <c r="B35" s="253"/>
      <c r="C35" s="133"/>
      <c r="D35" s="459"/>
      <c r="E35" s="329"/>
      <c r="F35" s="330"/>
      <c r="G35" s="330"/>
      <c r="H35" s="331"/>
      <c r="I35" s="459"/>
      <c r="J35" s="460"/>
      <c r="K35" s="460"/>
    </row>
    <row r="36" spans="1:11" ht="25" customHeight="1">
      <c r="A36" s="114"/>
      <c r="B36" s="115"/>
      <c r="C36" s="327"/>
      <c r="D36" s="338" t="s">
        <v>156</v>
      </c>
      <c r="E36" s="455" t="s">
        <v>59</v>
      </c>
      <c r="F36" s="455"/>
      <c r="G36" s="456" t="s">
        <v>32</v>
      </c>
      <c r="H36" s="456" t="s">
        <v>256</v>
      </c>
      <c r="I36" s="453" t="s">
        <v>59</v>
      </c>
      <c r="J36" s="454"/>
      <c r="K36" s="456" t="s">
        <v>32</v>
      </c>
    </row>
    <row r="37" spans="1:11" ht="25" customHeight="1">
      <c r="A37" s="114"/>
      <c r="B37" s="281"/>
      <c r="C37" s="281"/>
      <c r="D37" s="339"/>
      <c r="E37" s="455"/>
      <c r="F37" s="455"/>
      <c r="G37" s="456"/>
      <c r="H37" s="456"/>
      <c r="I37" s="453"/>
      <c r="J37" s="454"/>
      <c r="K37" s="456"/>
    </row>
    <row r="38" spans="1:11" ht="15" customHeight="1">
      <c r="A38" s="493" t="s">
        <v>155</v>
      </c>
      <c r="B38" s="493"/>
      <c r="C38" s="340" t="s">
        <v>180</v>
      </c>
      <c r="D38" s="318"/>
      <c r="E38" s="201" t="s">
        <v>247</v>
      </c>
      <c r="F38" s="201" t="s">
        <v>248</v>
      </c>
      <c r="G38" s="442"/>
      <c r="H38" s="442"/>
      <c r="I38" s="203" t="s">
        <v>247</v>
      </c>
      <c r="J38" s="201" t="s">
        <v>248</v>
      </c>
      <c r="K38" s="442"/>
    </row>
    <row r="39" spans="1:11" ht="11.15" customHeight="1">
      <c r="A39" s="397" t="str">
        <f>'3.1'!D5</f>
        <v>Říjen</v>
      </c>
      <c r="B39" s="397"/>
      <c r="C39" s="147" t="s">
        <v>4</v>
      </c>
      <c r="D39" s="287">
        <v>80</v>
      </c>
      <c r="E39" s="283">
        <v>14787.681</v>
      </c>
      <c r="F39" s="283">
        <v>163387.03489000001</v>
      </c>
      <c r="G39" s="284">
        <f>E39/$E$44</f>
        <v>0.51064902999454398</v>
      </c>
      <c r="H39" s="284">
        <f>(E39-I39)/I39</f>
        <v>0.40365954124174153</v>
      </c>
      <c r="I39" s="287">
        <v>10535.091</v>
      </c>
      <c r="J39" s="283">
        <v>115364.76908</v>
      </c>
      <c r="K39" s="284">
        <f>I39/$I$44</f>
        <v>0.4632153064185654</v>
      </c>
    </row>
    <row r="40" spans="1:11" ht="11.15" customHeight="1">
      <c r="A40" s="398"/>
      <c r="B40" s="398"/>
      <c r="C40" s="137" t="s">
        <v>5</v>
      </c>
      <c r="D40" s="288">
        <v>224</v>
      </c>
      <c r="E40" s="113">
        <v>2315.672</v>
      </c>
      <c r="F40" s="113">
        <v>25585.591970000001</v>
      </c>
      <c r="G40" s="282">
        <f t="shared" ref="G40" si="9">E40/$E$44</f>
        <v>7.9964915430994599E-2</v>
      </c>
      <c r="H40" s="282">
        <f>(E40-I40)/I40</f>
        <v>-3.6140686784599363E-2</v>
      </c>
      <c r="I40" s="288">
        <v>2402.5</v>
      </c>
      <c r="J40" s="113">
        <v>26309.043399999999</v>
      </c>
      <c r="K40" s="282">
        <f t="shared" ref="K40:K43" si="10">I40/$I$44</f>
        <v>0.10563504137464055</v>
      </c>
    </row>
    <row r="41" spans="1:11" ht="11.15" customHeight="1">
      <c r="A41" s="398"/>
      <c r="B41" s="398"/>
      <c r="C41" s="137" t="s">
        <v>6</v>
      </c>
      <c r="D41" s="288">
        <v>9689</v>
      </c>
      <c r="E41" s="113">
        <v>4390.6760000000004</v>
      </c>
      <c r="F41" s="113">
        <v>48512.233970000001</v>
      </c>
      <c r="G41" s="282">
        <f>E41/$E$44</f>
        <v>0.15161906998266492</v>
      </c>
      <c r="H41" s="282">
        <f t="shared" ref="H41:H43" si="11">(E41-I41)/I41</f>
        <v>0.18118815690112572</v>
      </c>
      <c r="I41" s="288">
        <v>3717.1689999999999</v>
      </c>
      <c r="J41" s="113">
        <v>40704.53559</v>
      </c>
      <c r="K41" s="282">
        <f t="shared" si="10"/>
        <v>0.16343945935963838</v>
      </c>
    </row>
    <row r="42" spans="1:11" ht="11.15" customHeight="1">
      <c r="A42" s="398"/>
      <c r="B42" s="398"/>
      <c r="C42" s="137" t="s">
        <v>7</v>
      </c>
      <c r="D42" s="288">
        <v>103285</v>
      </c>
      <c r="E42" s="113">
        <v>7354.5</v>
      </c>
      <c r="F42" s="113">
        <v>81258.899999999994</v>
      </c>
      <c r="G42" s="282">
        <f>E42/$E$44</f>
        <v>0.25396600664396762</v>
      </c>
      <c r="H42" s="282">
        <f t="shared" si="11"/>
        <v>0.23290082478374577</v>
      </c>
      <c r="I42" s="288">
        <v>5965.2</v>
      </c>
      <c r="J42" s="113">
        <v>65321.599999999999</v>
      </c>
      <c r="K42" s="282">
        <f t="shared" si="10"/>
        <v>0.26228268420728651</v>
      </c>
    </row>
    <row r="43" spans="1:11" ht="11.15" customHeight="1">
      <c r="A43" s="398"/>
      <c r="B43" s="398"/>
      <c r="C43" s="137" t="s">
        <v>90</v>
      </c>
      <c r="D43" s="288">
        <v>14</v>
      </c>
      <c r="E43" s="113">
        <v>110.071</v>
      </c>
      <c r="F43" s="113">
        <v>1216.1574000000001</v>
      </c>
      <c r="G43" s="282">
        <f>E43/$E$44</f>
        <v>3.8009779478289699E-3</v>
      </c>
      <c r="H43" s="282">
        <f t="shared" si="11"/>
        <v>-0.10830362929358393</v>
      </c>
      <c r="I43" s="288">
        <v>123.44</v>
      </c>
      <c r="J43" s="113">
        <v>1351.7368799999999</v>
      </c>
      <c r="K43" s="282">
        <f t="shared" si="10"/>
        <v>5.4275086398691483E-3</v>
      </c>
    </row>
    <row r="44" spans="1:11" ht="11.15" customHeight="1">
      <c r="A44" s="399"/>
      <c r="B44" s="399"/>
      <c r="C44" s="293" t="s">
        <v>0</v>
      </c>
      <c r="D44" s="296">
        <v>113292</v>
      </c>
      <c r="E44" s="294">
        <v>28958.6</v>
      </c>
      <c r="F44" s="294">
        <v>319959.91823000007</v>
      </c>
      <c r="G44" s="295">
        <f>SUM(G39:G43)</f>
        <v>1.0000000000000002</v>
      </c>
      <c r="H44" s="295">
        <f>(E44-I44)/I44</f>
        <v>0.27327488414221252</v>
      </c>
      <c r="I44" s="296">
        <v>22743.4</v>
      </c>
      <c r="J44" s="294">
        <v>249051.68495000002</v>
      </c>
      <c r="K44" s="295">
        <f>SUM(K39:K43)</f>
        <v>1</v>
      </c>
    </row>
    <row r="45" spans="1:11" ht="11.15" customHeight="1">
      <c r="A45" s="397" t="str">
        <f>'3.1'!E5</f>
        <v>Listopad</v>
      </c>
      <c r="B45" s="397"/>
      <c r="C45" s="147" t="s">
        <v>4</v>
      </c>
      <c r="D45" s="287">
        <v>80</v>
      </c>
      <c r="E45" s="283">
        <v>16680.393</v>
      </c>
      <c r="F45" s="283">
        <v>183624.85227999999</v>
      </c>
      <c r="G45" s="284">
        <f>E45/$E$50</f>
        <v>0.43863450615336069</v>
      </c>
      <c r="H45" s="284">
        <f>(E45-I45)/I45</f>
        <v>0.25675465223713251</v>
      </c>
      <c r="I45" s="287">
        <v>13272.593000000001</v>
      </c>
      <c r="J45" s="283">
        <v>144871.39666999999</v>
      </c>
      <c r="K45" s="284">
        <f>I45/$I$50</f>
        <v>0.37530731296268022</v>
      </c>
    </row>
    <row r="46" spans="1:11" ht="11.15" customHeight="1">
      <c r="A46" s="398"/>
      <c r="B46" s="398"/>
      <c r="C46" s="137" t="s">
        <v>5</v>
      </c>
      <c r="D46" s="288">
        <v>224</v>
      </c>
      <c r="E46" s="113">
        <v>2961.5160000000001</v>
      </c>
      <c r="F46" s="113">
        <v>32601.28829</v>
      </c>
      <c r="G46" s="282">
        <f t="shared" ref="G46:G49" si="12">E46/$E$50</f>
        <v>7.7877248343325975E-2</v>
      </c>
      <c r="H46" s="282">
        <f>(E46-I46)/I46</f>
        <v>-0.14991570963929812</v>
      </c>
      <c r="I46" s="288">
        <v>3483.7910000000002</v>
      </c>
      <c r="J46" s="113">
        <v>38025.387439999999</v>
      </c>
      <c r="K46" s="282">
        <f t="shared" ref="K46:K49" si="13">I46/$I$50</f>
        <v>9.851068582707001E-2</v>
      </c>
    </row>
    <row r="47" spans="1:11" ht="11.15" customHeight="1">
      <c r="A47" s="398"/>
      <c r="B47" s="398"/>
      <c r="C47" s="137" t="s">
        <v>6</v>
      </c>
      <c r="D47" s="288">
        <v>9693</v>
      </c>
      <c r="E47" s="113">
        <v>6630.982</v>
      </c>
      <c r="F47" s="113">
        <v>72996.573239999998</v>
      </c>
      <c r="G47" s="282">
        <f t="shared" si="12"/>
        <v>0.17437104238981802</v>
      </c>
      <c r="H47" s="282">
        <f t="shared" ref="H47:H49" si="14">(E47-I47)/I47</f>
        <v>-4.0951247041563013E-2</v>
      </c>
      <c r="I47" s="288">
        <v>6914.1239999999998</v>
      </c>
      <c r="J47" s="113">
        <v>75467.613580000005</v>
      </c>
      <c r="K47" s="282">
        <f t="shared" si="13"/>
        <v>0.19550974703517077</v>
      </c>
    </row>
    <row r="48" spans="1:11" ht="11.15" customHeight="1">
      <c r="A48" s="398"/>
      <c r="B48" s="398"/>
      <c r="C48" s="137" t="s">
        <v>7</v>
      </c>
      <c r="D48" s="288">
        <v>103232</v>
      </c>
      <c r="E48" s="113">
        <v>11484.1</v>
      </c>
      <c r="F48" s="113">
        <v>126421.7</v>
      </c>
      <c r="G48" s="282">
        <f t="shared" si="12"/>
        <v>0.30199063847691177</v>
      </c>
      <c r="H48" s="282">
        <f t="shared" si="14"/>
        <v>-7.124021959970573E-3</v>
      </c>
      <c r="I48" s="288">
        <v>11566.5</v>
      </c>
      <c r="J48" s="113">
        <v>126248.9</v>
      </c>
      <c r="K48" s="282">
        <f t="shared" si="13"/>
        <v>0.3270643524880813</v>
      </c>
    </row>
    <row r="49" spans="1:11" ht="11.15" customHeight="1">
      <c r="A49" s="398"/>
      <c r="B49" s="398"/>
      <c r="C49" s="137" t="s">
        <v>90</v>
      </c>
      <c r="D49" s="288">
        <v>14</v>
      </c>
      <c r="E49" s="113">
        <v>271.00900000000001</v>
      </c>
      <c r="F49" s="113">
        <v>2983.3869100000002</v>
      </c>
      <c r="G49" s="282">
        <f t="shared" si="12"/>
        <v>7.1265646365835707E-3</v>
      </c>
      <c r="H49" s="282">
        <f t="shared" si="14"/>
        <v>1.1240281522352502</v>
      </c>
      <c r="I49" s="288">
        <v>127.592</v>
      </c>
      <c r="J49" s="113">
        <v>1392.6684299999999</v>
      </c>
      <c r="K49" s="282">
        <f t="shared" si="13"/>
        <v>3.6079016869977323E-3</v>
      </c>
    </row>
    <row r="50" spans="1:11" ht="11.15" customHeight="1">
      <c r="A50" s="399"/>
      <c r="B50" s="399"/>
      <c r="C50" s="293" t="s">
        <v>0</v>
      </c>
      <c r="D50" s="296">
        <v>113243</v>
      </c>
      <c r="E50" s="294">
        <v>38028</v>
      </c>
      <c r="F50" s="294">
        <v>418627.80072</v>
      </c>
      <c r="G50" s="295">
        <f>SUM(G45:G49)</f>
        <v>1</v>
      </c>
      <c r="H50" s="295">
        <f t="shared" ref="H50" si="15">(E50-I50)/I50</f>
        <v>7.5312600736329588E-2</v>
      </c>
      <c r="I50" s="296">
        <v>35364.6</v>
      </c>
      <c r="J50" s="294">
        <v>386005.96612</v>
      </c>
      <c r="K50" s="295">
        <f>SUM(K45:K49)</f>
        <v>1</v>
      </c>
    </row>
    <row r="51" spans="1:11" ht="11.15" customHeight="1">
      <c r="A51" s="397" t="str">
        <f>'3.1'!F5</f>
        <v>Prosinec</v>
      </c>
      <c r="B51" s="397"/>
      <c r="C51" s="147" t="s">
        <v>4</v>
      </c>
      <c r="D51" s="287">
        <v>80</v>
      </c>
      <c r="E51" s="283">
        <v>16285.5</v>
      </c>
      <c r="F51" s="283">
        <v>178769.94000999999</v>
      </c>
      <c r="G51" s="284">
        <f>E51/$E$56</f>
        <v>0.3902485196891527</v>
      </c>
      <c r="H51" s="284">
        <f>(E51-I51)/I51</f>
        <v>0.31062448031331058</v>
      </c>
      <c r="I51" s="287">
        <v>12425.755999999999</v>
      </c>
      <c r="J51" s="283">
        <v>135273.42741999999</v>
      </c>
      <c r="K51" s="284">
        <f>I51/$I$56</f>
        <v>0.31796260424316714</v>
      </c>
    </row>
    <row r="52" spans="1:11" ht="11.15" customHeight="1">
      <c r="A52" s="398"/>
      <c r="B52" s="398"/>
      <c r="C52" s="137" t="s">
        <v>5</v>
      </c>
      <c r="D52" s="288">
        <v>225</v>
      </c>
      <c r="E52" s="113">
        <v>3025.087</v>
      </c>
      <c r="F52" s="113">
        <v>33207.375260000001</v>
      </c>
      <c r="G52" s="282">
        <f t="shared" ref="G52:G55" si="16">E52/$E$56</f>
        <v>7.2489989480267719E-2</v>
      </c>
      <c r="H52" s="282">
        <f t="shared" ref="H52:H55" si="17">(E52-I52)/I52</f>
        <v>-0.15377873782665305</v>
      </c>
      <c r="I52" s="288">
        <v>3574.8180000000002</v>
      </c>
      <c r="J52" s="113">
        <v>38917.038520000002</v>
      </c>
      <c r="K52" s="282">
        <f t="shared" ref="K52:K55" si="18">I52/$I$56</f>
        <v>9.1475998802435066E-2</v>
      </c>
    </row>
    <row r="53" spans="1:11" ht="11.15" customHeight="1">
      <c r="A53" s="398"/>
      <c r="B53" s="398"/>
      <c r="C53" s="137" t="s">
        <v>6</v>
      </c>
      <c r="D53" s="288">
        <v>9698</v>
      </c>
      <c r="E53" s="113">
        <v>8322.7389999999996</v>
      </c>
      <c r="F53" s="113">
        <v>91360.110419999997</v>
      </c>
      <c r="G53" s="282">
        <f t="shared" si="16"/>
        <v>0.19943732611888976</v>
      </c>
      <c r="H53" s="282">
        <f t="shared" si="17"/>
        <v>-5.2337128655654212E-3</v>
      </c>
      <c r="I53" s="288">
        <v>8366.527</v>
      </c>
      <c r="J53" s="113">
        <v>91081.874339999995</v>
      </c>
      <c r="K53" s="282">
        <f t="shared" si="18"/>
        <v>0.21409101493629623</v>
      </c>
    </row>
    <row r="54" spans="1:11" ht="11.15" customHeight="1">
      <c r="A54" s="398"/>
      <c r="B54" s="398"/>
      <c r="C54" s="137" t="s">
        <v>7</v>
      </c>
      <c r="D54" s="288">
        <v>103190</v>
      </c>
      <c r="E54" s="113">
        <v>14124.7</v>
      </c>
      <c r="F54" s="113">
        <v>155049.9</v>
      </c>
      <c r="G54" s="282">
        <f t="shared" si="16"/>
        <v>0.33846939093385991</v>
      </c>
      <c r="H54" s="282">
        <f t="shared" si="17"/>
        <v>-3.0582760821671384E-2</v>
      </c>
      <c r="I54" s="288">
        <v>14570.3</v>
      </c>
      <c r="J54" s="113">
        <v>158620.1</v>
      </c>
      <c r="K54" s="282">
        <f t="shared" si="18"/>
        <v>0.37283932926127134</v>
      </c>
    </row>
    <row r="55" spans="1:11" ht="11.15" customHeight="1">
      <c r="A55" s="398"/>
      <c r="B55" s="398"/>
      <c r="C55" s="137" t="s">
        <v>90</v>
      </c>
      <c r="D55" s="288">
        <v>14</v>
      </c>
      <c r="E55" s="113">
        <v>-26.925999999999998</v>
      </c>
      <c r="F55" s="113">
        <v>-295.57234</v>
      </c>
      <c r="G55" s="282">
        <f t="shared" si="16"/>
        <v>-6.4522622217003621E-4</v>
      </c>
      <c r="H55" s="282">
        <f t="shared" si="17"/>
        <v>-1.1897546846700822</v>
      </c>
      <c r="I55" s="288">
        <v>141.899</v>
      </c>
      <c r="J55" s="113">
        <v>1544.7893200000001</v>
      </c>
      <c r="K55" s="282">
        <f t="shared" si="18"/>
        <v>3.6310527568303428E-3</v>
      </c>
    </row>
    <row r="56" spans="1:11" ht="11.15" customHeight="1">
      <c r="A56" s="399"/>
      <c r="B56" s="399"/>
      <c r="C56" s="293" t="s">
        <v>0</v>
      </c>
      <c r="D56" s="296">
        <v>113207</v>
      </c>
      <c r="E56" s="294">
        <v>41731.1</v>
      </c>
      <c r="F56" s="294">
        <v>458091.75334999996</v>
      </c>
      <c r="G56" s="295">
        <f>SUM(G51:G55)</f>
        <v>1</v>
      </c>
      <c r="H56" s="295">
        <f t="shared" ref="H56" si="19">(E56-I56)/I56</f>
        <v>6.7856896106122763E-2</v>
      </c>
      <c r="I56" s="296">
        <v>39079.299999999996</v>
      </c>
      <c r="J56" s="294">
        <v>425437.22959999996</v>
      </c>
      <c r="K56" s="295">
        <f>SUM(K51:K55)</f>
        <v>1.0000000000000002</v>
      </c>
    </row>
    <row r="57" spans="1:11" ht="11.15" customHeight="1">
      <c r="A57" s="467" t="str">
        <f>'3.1'!G5</f>
        <v>IV. čtvrtletí</v>
      </c>
      <c r="B57" s="397"/>
      <c r="C57" s="147" t="s">
        <v>4</v>
      </c>
      <c r="D57" s="287">
        <f>D51</f>
        <v>80</v>
      </c>
      <c r="E57" s="283">
        <f>E39+E45+E51</f>
        <v>47753.574000000001</v>
      </c>
      <c r="F57" s="283">
        <f>F39+F45+F51</f>
        <v>525781.82718000002</v>
      </c>
      <c r="G57" s="284">
        <f>E57/$E$62</f>
        <v>0.43924378459073365</v>
      </c>
      <c r="H57" s="284">
        <f>(E57-I57)/I57</f>
        <v>0.31794204469683246</v>
      </c>
      <c r="I57" s="287">
        <f>I39+I45+I51</f>
        <v>36233.440000000002</v>
      </c>
      <c r="J57" s="283">
        <f>J39+J45+J51</f>
        <v>395509.59317000001</v>
      </c>
      <c r="K57" s="284">
        <f>I57/$I$62</f>
        <v>0.37282072863429688</v>
      </c>
    </row>
    <row r="58" spans="1:11" ht="11.15" customHeight="1">
      <c r="A58" s="398"/>
      <c r="B58" s="398"/>
      <c r="C58" s="137" t="s">
        <v>5</v>
      </c>
      <c r="D58" s="288">
        <f>D52</f>
        <v>225</v>
      </c>
      <c r="E58" s="113">
        <f t="shared" ref="E58:F59" si="20">E40+E46+E52</f>
        <v>8302.2749999999996</v>
      </c>
      <c r="F58" s="113">
        <f t="shared" si="20"/>
        <v>91394.255520000006</v>
      </c>
      <c r="G58" s="282">
        <f t="shared" ref="G58:G61" si="21">E58/$E$62</f>
        <v>7.6365440034143472E-2</v>
      </c>
      <c r="H58" s="282">
        <f t="shared" ref="H58:H61" si="22">(E58-I58)/I58</f>
        <v>-0.12248394982025899</v>
      </c>
      <c r="I58" s="288">
        <f t="shared" ref="I58:J58" si="23">I40+I46+I52</f>
        <v>9461.1090000000004</v>
      </c>
      <c r="J58" s="113">
        <f t="shared" si="23"/>
        <v>103251.46936</v>
      </c>
      <c r="K58" s="282">
        <f t="shared" ref="K58:K61" si="24">I58/$I$62</f>
        <v>9.7349231844078399E-2</v>
      </c>
    </row>
    <row r="59" spans="1:11" ht="11.15" customHeight="1">
      <c r="A59" s="398"/>
      <c r="B59" s="398"/>
      <c r="C59" s="137" t="s">
        <v>6</v>
      </c>
      <c r="D59" s="288">
        <f>D53</f>
        <v>9698</v>
      </c>
      <c r="E59" s="113">
        <f>E41+E47+E53</f>
        <v>19344.396999999997</v>
      </c>
      <c r="F59" s="113">
        <f t="shared" si="20"/>
        <v>212868.91762999998</v>
      </c>
      <c r="G59" s="282">
        <f t="shared" si="21"/>
        <v>0.17793236059997589</v>
      </c>
      <c r="H59" s="282">
        <f t="shared" si="22"/>
        <v>1.8242987879661852E-2</v>
      </c>
      <c r="I59" s="288">
        <f>I41+I47+I53</f>
        <v>18997.82</v>
      </c>
      <c r="J59" s="113">
        <f t="shared" ref="J59" si="25">J41+J47+J53</f>
        <v>207254.02351</v>
      </c>
      <c r="K59" s="282">
        <f t="shared" si="24"/>
        <v>0.19547636368126287</v>
      </c>
    </row>
    <row r="60" spans="1:11" ht="11.15" customHeight="1">
      <c r="A60" s="398"/>
      <c r="B60" s="398"/>
      <c r="C60" s="137" t="s">
        <v>7</v>
      </c>
      <c r="D60" s="288">
        <f>D54</f>
        <v>103190</v>
      </c>
      <c r="E60" s="113">
        <f t="shared" ref="E60:F61" si="26">E42+E48+E54</f>
        <v>32963.300000000003</v>
      </c>
      <c r="F60" s="113">
        <f t="shared" si="26"/>
        <v>362730.5</v>
      </c>
      <c r="G60" s="282">
        <f t="shared" si="21"/>
        <v>0.30320085873781366</v>
      </c>
      <c r="H60" s="282">
        <f t="shared" si="22"/>
        <v>2.6830104043361874E-2</v>
      </c>
      <c r="I60" s="288">
        <f t="shared" ref="I60:J60" si="27">I42+I48+I54</f>
        <v>32102</v>
      </c>
      <c r="J60" s="113">
        <f t="shared" si="27"/>
        <v>350190.6</v>
      </c>
      <c r="K60" s="282">
        <f t="shared" si="24"/>
        <v>0.33031064758461237</v>
      </c>
    </row>
    <row r="61" spans="1:11" ht="11.15" customHeight="1">
      <c r="A61" s="398"/>
      <c r="B61" s="398"/>
      <c r="C61" s="137" t="s">
        <v>90</v>
      </c>
      <c r="D61" s="288">
        <f>D55</f>
        <v>14</v>
      </c>
      <c r="E61" s="113">
        <f>E43+E49+E55</f>
        <v>354.15400000000005</v>
      </c>
      <c r="F61" s="113">
        <f t="shared" si="26"/>
        <v>3903.9719700000001</v>
      </c>
      <c r="G61" s="282">
        <f t="shared" si="21"/>
        <v>3.2575560373333877E-3</v>
      </c>
      <c r="H61" s="282">
        <f t="shared" si="22"/>
        <v>-9.8686537839976815E-2</v>
      </c>
      <c r="I61" s="288">
        <f>I43+I49+I55</f>
        <v>392.93099999999998</v>
      </c>
      <c r="J61" s="113">
        <f t="shared" ref="J61" si="28">J43+J49+J55</f>
        <v>4289.19463</v>
      </c>
      <c r="K61" s="282">
        <f t="shared" si="24"/>
        <v>4.0430282557494647E-3</v>
      </c>
    </row>
    <row r="62" spans="1:11" ht="11.15" customHeight="1">
      <c r="A62" s="399"/>
      <c r="B62" s="399"/>
      <c r="C62" s="293" t="s">
        <v>0</v>
      </c>
      <c r="D62" s="296">
        <f>SUM(D57:D61)</f>
        <v>113207</v>
      </c>
      <c r="E62" s="294">
        <f>SUM(E57:E61)</f>
        <v>108717.7</v>
      </c>
      <c r="F62" s="294">
        <f>SUM(F57:F61)</f>
        <v>1196679.4723</v>
      </c>
      <c r="G62" s="295">
        <f>SUM(G57:G61)</f>
        <v>1</v>
      </c>
      <c r="H62" s="295">
        <f>(E62-I62)/I62</f>
        <v>0.1186410158528943</v>
      </c>
      <c r="I62" s="296">
        <f>SUM(I57:I61)</f>
        <v>97187.3</v>
      </c>
      <c r="J62" s="294">
        <f>SUM(J57:J61)</f>
        <v>1060494.8806700001</v>
      </c>
      <c r="K62" s="295">
        <f>SUM(K57:K61)</f>
        <v>1</v>
      </c>
    </row>
    <row r="63" spans="1:11" ht="15" customHeight="1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1" ht="15" customHeight="1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I34:K35"/>
    <mergeCell ref="A51:B56"/>
    <mergeCell ref="I36:J37"/>
    <mergeCell ref="K36:K38"/>
    <mergeCell ref="A57:B62"/>
    <mergeCell ref="A39:B44"/>
    <mergeCell ref="A45:B50"/>
    <mergeCell ref="A27:B32"/>
    <mergeCell ref="H36:H38"/>
    <mergeCell ref="A38:B38"/>
    <mergeCell ref="E36:F37"/>
    <mergeCell ref="G36:G38"/>
    <mergeCell ref="A34:C34"/>
    <mergeCell ref="D34:D35"/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5"/>
  <dimension ref="A1:T120"/>
  <sheetViews>
    <sheetView showGridLines="0" topLeftCell="A18" zoomScaleNormal="100" zoomScaleSheetLayoutView="100" workbookViewId="0">
      <selection activeCell="G1" sqref="G1"/>
    </sheetView>
  </sheetViews>
  <sheetFormatPr defaultColWidth="9.1796875" defaultRowHeight="12.5"/>
  <cols>
    <col min="1" max="1" width="9.453125" style="67" customWidth="1"/>
    <col min="2" max="2" width="3.81640625" style="67" customWidth="1"/>
    <col min="3" max="11" width="9.54296875" style="67" customWidth="1"/>
    <col min="12" max="13" width="9.1796875" style="67"/>
    <col min="14" max="14" width="11.1796875" style="67" customWidth="1"/>
    <col min="15" max="16384" width="9.1796875" style="67"/>
  </cols>
  <sheetData>
    <row r="1" spans="1:16" s="91" customFormat="1" ht="18">
      <c r="A1" s="471" t="s">
        <v>289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</row>
    <row r="2" spans="1:16" s="91" customFormat="1" ht="3" customHeight="1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6" ht="3" customHeight="1">
      <c r="A3" s="491"/>
      <c r="B3" s="491"/>
      <c r="C3" s="491"/>
      <c r="D3" s="275"/>
      <c r="E3" s="275"/>
      <c r="F3" s="276"/>
      <c r="G3" s="277"/>
      <c r="H3" s="277"/>
      <c r="I3" s="277"/>
    </row>
    <row r="4" spans="1:16" ht="13" customHeight="1">
      <c r="A4" s="463" t="s">
        <v>38</v>
      </c>
      <c r="B4" s="463"/>
      <c r="C4" s="463"/>
      <c r="D4" s="457">
        <f>'3.1'!A4</f>
        <v>2025</v>
      </c>
      <c r="E4" s="328"/>
      <c r="F4" s="317"/>
      <c r="G4" s="317"/>
      <c r="H4" s="317"/>
      <c r="I4" s="457">
        <f>D4-1</f>
        <v>2024</v>
      </c>
      <c r="J4" s="458"/>
      <c r="K4" s="458"/>
    </row>
    <row r="5" spans="1:16" ht="25" customHeight="1">
      <c r="A5" s="133"/>
      <c r="B5" s="133"/>
      <c r="C5" s="133"/>
      <c r="D5" s="459"/>
      <c r="E5" s="329"/>
      <c r="F5" s="330"/>
      <c r="G5" s="330"/>
      <c r="H5" s="331"/>
      <c r="I5" s="459"/>
      <c r="J5" s="460"/>
      <c r="K5" s="460"/>
    </row>
    <row r="6" spans="1:16" ht="25" customHeight="1">
      <c r="A6" s="279"/>
      <c r="B6" s="253"/>
      <c r="C6" s="280"/>
      <c r="D6" s="338" t="s">
        <v>156</v>
      </c>
      <c r="E6" s="455" t="s">
        <v>59</v>
      </c>
      <c r="F6" s="455"/>
      <c r="G6" s="456" t="s">
        <v>32</v>
      </c>
      <c r="H6" s="456" t="s">
        <v>256</v>
      </c>
      <c r="I6" s="453" t="s">
        <v>59</v>
      </c>
      <c r="J6" s="454"/>
      <c r="K6" s="456" t="s">
        <v>32</v>
      </c>
    </row>
    <row r="7" spans="1:16" ht="25" customHeight="1">
      <c r="A7" s="279"/>
      <c r="B7" s="281"/>
      <c r="D7" s="339"/>
      <c r="E7" s="455"/>
      <c r="F7" s="455"/>
      <c r="G7" s="456"/>
      <c r="H7" s="456"/>
      <c r="I7" s="453"/>
      <c r="J7" s="454"/>
      <c r="K7" s="456"/>
    </row>
    <row r="8" spans="1:16" ht="15" customHeight="1">
      <c r="A8" s="464" t="s">
        <v>155</v>
      </c>
      <c r="B8" s="464"/>
      <c r="C8" s="298" t="s">
        <v>180</v>
      </c>
      <c r="D8" s="318"/>
      <c r="E8" s="201" t="s">
        <v>247</v>
      </c>
      <c r="F8" s="201" t="s">
        <v>248</v>
      </c>
      <c r="G8" s="442"/>
      <c r="H8" s="442"/>
      <c r="I8" s="203" t="s">
        <v>247</v>
      </c>
      <c r="J8" s="201" t="s">
        <v>248</v>
      </c>
      <c r="K8" s="442"/>
    </row>
    <row r="9" spans="1:16" ht="11.15" customHeight="1">
      <c r="A9" s="397" t="str">
        <f>'3.1'!D5</f>
        <v>Říjen</v>
      </c>
      <c r="B9" s="397"/>
      <c r="C9" s="147" t="s">
        <v>4</v>
      </c>
      <c r="D9" s="287">
        <v>85</v>
      </c>
      <c r="E9" s="283">
        <v>9944.6460000000006</v>
      </c>
      <c r="F9" s="283">
        <v>109876.54892</v>
      </c>
      <c r="G9" s="284">
        <f>E9/$E$14</f>
        <v>0.42677270289515834</v>
      </c>
      <c r="H9" s="284">
        <f>(E9-I9)/I9</f>
        <v>9.9742510647257823E-2</v>
      </c>
      <c r="I9" s="287">
        <v>9042.7039999999997</v>
      </c>
      <c r="J9" s="283">
        <v>99022.626869999993</v>
      </c>
      <c r="K9" s="284">
        <f>I9/$I$14</f>
        <v>0.44378993007049294</v>
      </c>
    </row>
    <row r="10" spans="1:16" ht="11.15" customHeight="1">
      <c r="A10" s="398"/>
      <c r="B10" s="398"/>
      <c r="C10" s="137" t="s">
        <v>5</v>
      </c>
      <c r="D10" s="288">
        <v>246</v>
      </c>
      <c r="E10" s="113">
        <v>2582.41</v>
      </c>
      <c r="F10" s="113">
        <v>28532.341980000001</v>
      </c>
      <c r="G10" s="282">
        <f>E10/$E$14</f>
        <v>0.11082366287180918</v>
      </c>
      <c r="H10" s="282">
        <f>(E10-I10)/I10</f>
        <v>8.2931771452965541E-2</v>
      </c>
      <c r="I10" s="288">
        <v>2384.6469999999999</v>
      </c>
      <c r="J10" s="113">
        <v>26112.639620000002</v>
      </c>
      <c r="K10" s="282">
        <f>I10/$I$14</f>
        <v>0.11703162299383137</v>
      </c>
      <c r="L10" s="68"/>
      <c r="N10" s="68"/>
      <c r="O10" s="68"/>
      <c r="P10" s="68"/>
    </row>
    <row r="11" spans="1:16" ht="11.15" customHeight="1">
      <c r="A11" s="398"/>
      <c r="B11" s="398"/>
      <c r="C11" s="137" t="s">
        <v>6</v>
      </c>
      <c r="D11" s="288">
        <v>8641</v>
      </c>
      <c r="E11" s="113">
        <v>4782.451</v>
      </c>
      <c r="F11" s="113">
        <v>52835.300439999999</v>
      </c>
      <c r="G11" s="282">
        <f>E11/$E$14</f>
        <v>0.2052380285566377</v>
      </c>
      <c r="H11" s="282">
        <f t="shared" ref="H11:H13" si="0">(E11-I11)/I11</f>
        <v>0.17899452738783664</v>
      </c>
      <c r="I11" s="288">
        <v>4056.3809999999999</v>
      </c>
      <c r="J11" s="113">
        <v>44414.273739999997</v>
      </c>
      <c r="K11" s="282">
        <f>I11/$I$14</f>
        <v>0.19907552434861037</v>
      </c>
      <c r="L11" s="68"/>
      <c r="N11" s="68"/>
      <c r="O11" s="68"/>
      <c r="P11" s="68"/>
    </row>
    <row r="12" spans="1:16" ht="11.15" customHeight="1">
      <c r="A12" s="398"/>
      <c r="B12" s="398"/>
      <c r="C12" s="137" t="s">
        <v>7</v>
      </c>
      <c r="D12" s="288">
        <v>80473</v>
      </c>
      <c r="E12" s="113">
        <v>5748.9</v>
      </c>
      <c r="F12" s="113">
        <v>63519.1</v>
      </c>
      <c r="G12" s="282">
        <f>E12/$E$14</f>
        <v>0.24671301438723667</v>
      </c>
      <c r="H12" s="282">
        <f t="shared" si="0"/>
        <v>0.23290227111883163</v>
      </c>
      <c r="I12" s="288">
        <v>4662.8999999999996</v>
      </c>
      <c r="J12" s="113">
        <v>51061.1</v>
      </c>
      <c r="K12" s="282">
        <f>I12/$I$14</f>
        <v>0.22884173416775574</v>
      </c>
      <c r="L12" s="68"/>
      <c r="N12" s="68"/>
      <c r="O12" s="68"/>
      <c r="P12" s="68"/>
    </row>
    <row r="13" spans="1:16" ht="11.15" customHeight="1">
      <c r="A13" s="398"/>
      <c r="B13" s="398"/>
      <c r="C13" s="137" t="s">
        <v>90</v>
      </c>
      <c r="D13" s="288">
        <v>8</v>
      </c>
      <c r="E13" s="113">
        <v>243.566</v>
      </c>
      <c r="F13" s="113">
        <v>2691.1324300000001</v>
      </c>
      <c r="G13" s="282">
        <f>E13/$E$14</f>
        <v>1.0452591289158219E-2</v>
      </c>
      <c r="H13" s="282">
        <f t="shared" si="0"/>
        <v>6.1479392832706495E-2</v>
      </c>
      <c r="I13" s="288">
        <v>229.459</v>
      </c>
      <c r="J13" s="113">
        <v>2512.6939200000002</v>
      </c>
      <c r="K13" s="282">
        <f>I13/$I$14</f>
        <v>1.1261188419309672E-2</v>
      </c>
      <c r="L13" s="68"/>
      <c r="N13" s="68"/>
      <c r="O13" s="68"/>
      <c r="P13" s="68"/>
    </row>
    <row r="14" spans="1:16" ht="11.15" customHeight="1">
      <c r="A14" s="399"/>
      <c r="B14" s="399"/>
      <c r="C14" s="293" t="s">
        <v>0</v>
      </c>
      <c r="D14" s="296">
        <v>89453</v>
      </c>
      <c r="E14" s="294">
        <v>23301.972999999998</v>
      </c>
      <c r="F14" s="294">
        <v>257454.42376999999</v>
      </c>
      <c r="G14" s="295">
        <f>SUM(G9:G13)</f>
        <v>1.0000000000000002</v>
      </c>
      <c r="H14" s="295">
        <f>(E14-I14)/I14</f>
        <v>0.14359388167239742</v>
      </c>
      <c r="I14" s="296">
        <v>20376.090999999997</v>
      </c>
      <c r="J14" s="294">
        <v>223123.33414999998</v>
      </c>
      <c r="K14" s="295">
        <f>SUM(K9:K13)</f>
        <v>1.0000000000000002</v>
      </c>
      <c r="L14" s="68"/>
    </row>
    <row r="15" spans="1:16" ht="11.15" customHeight="1">
      <c r="A15" s="397" t="str">
        <f>'3.1'!E5</f>
        <v>Listopad</v>
      </c>
      <c r="B15" s="397"/>
      <c r="C15" s="147" t="s">
        <v>4</v>
      </c>
      <c r="D15" s="287">
        <v>85</v>
      </c>
      <c r="E15" s="283">
        <v>13030.317999999999</v>
      </c>
      <c r="F15" s="283">
        <v>143443.21809000001</v>
      </c>
      <c r="G15" s="284">
        <f>E15/$E$20</f>
        <v>0.39378242694970278</v>
      </c>
      <c r="H15" s="284">
        <f>(E15-I15)/I15</f>
        <v>1.4205851832733377E-2</v>
      </c>
      <c r="I15" s="287">
        <v>12847.804</v>
      </c>
      <c r="J15" s="283">
        <v>140234.01405999999</v>
      </c>
      <c r="K15" s="284">
        <f>I15/$I$20</f>
        <v>0.38569735072792477</v>
      </c>
      <c r="L15" s="68"/>
      <c r="M15" s="68"/>
    </row>
    <row r="16" spans="1:16" ht="11.15" customHeight="1">
      <c r="A16" s="398"/>
      <c r="B16" s="398"/>
      <c r="C16" s="137" t="s">
        <v>5</v>
      </c>
      <c r="D16" s="288">
        <v>246</v>
      </c>
      <c r="E16" s="113">
        <v>3466.2249999999999</v>
      </c>
      <c r="F16" s="113">
        <v>38157.504959999998</v>
      </c>
      <c r="G16" s="282">
        <f>E16/$E$20</f>
        <v>0.10475097329579627</v>
      </c>
      <c r="H16" s="282">
        <f>(E16-I16)/I16</f>
        <v>-5.6227338061329332E-2</v>
      </c>
      <c r="I16" s="288">
        <v>3672.7330000000002</v>
      </c>
      <c r="J16" s="113">
        <v>40087.681470000003</v>
      </c>
      <c r="K16" s="282">
        <f>I16/$I$20</f>
        <v>0.11025723836003595</v>
      </c>
      <c r="L16" s="86"/>
      <c r="M16" s="68"/>
    </row>
    <row r="17" spans="1:20" ht="11.15" customHeight="1">
      <c r="A17" s="398"/>
      <c r="B17" s="398"/>
      <c r="C17" s="137" t="s">
        <v>6</v>
      </c>
      <c r="D17" s="288">
        <v>8645</v>
      </c>
      <c r="E17" s="113">
        <v>7393.15</v>
      </c>
      <c r="F17" s="113">
        <v>81381.067089999997</v>
      </c>
      <c r="G17" s="282">
        <f>E17/$E$20</f>
        <v>0.2234245203995171</v>
      </c>
      <c r="H17" s="282">
        <f t="shared" ref="H17:H20" si="1">(E17-I17)/I17</f>
        <v>-1.8900349342949964E-2</v>
      </c>
      <c r="I17" s="288">
        <v>7535.5749999999998</v>
      </c>
      <c r="J17" s="113">
        <v>82245.205780000004</v>
      </c>
      <c r="K17" s="282">
        <f>I17/$I$20</f>
        <v>0.22622164174605883</v>
      </c>
      <c r="L17" s="68"/>
      <c r="M17" s="68"/>
      <c r="N17" s="68"/>
      <c r="O17" s="68"/>
    </row>
    <row r="18" spans="1:20" ht="11.15" customHeight="1">
      <c r="A18" s="398"/>
      <c r="B18" s="398"/>
      <c r="C18" s="137" t="s">
        <v>7</v>
      </c>
      <c r="D18" s="288">
        <v>80432</v>
      </c>
      <c r="E18" s="113">
        <v>8977</v>
      </c>
      <c r="F18" s="113">
        <v>98822.3</v>
      </c>
      <c r="G18" s="282">
        <f>E18/$E$20</f>
        <v>0.27128922308169928</v>
      </c>
      <c r="H18" s="282">
        <f t="shared" si="1"/>
        <v>-7.1227907182515584E-3</v>
      </c>
      <c r="I18" s="288">
        <v>9041.4</v>
      </c>
      <c r="J18" s="113">
        <v>98687.2</v>
      </c>
      <c r="K18" s="282">
        <f>I18/$I$20</f>
        <v>0.27142724366525661</v>
      </c>
      <c r="L18" s="68"/>
      <c r="M18" s="68"/>
      <c r="N18" s="68"/>
      <c r="O18" s="68"/>
    </row>
    <row r="19" spans="1:20" ht="11.15" customHeight="1">
      <c r="A19" s="398"/>
      <c r="B19" s="398"/>
      <c r="C19" s="137" t="s">
        <v>90</v>
      </c>
      <c r="D19" s="288">
        <v>8</v>
      </c>
      <c r="E19" s="113">
        <v>223.453</v>
      </c>
      <c r="F19" s="113">
        <v>2459.8753999999999</v>
      </c>
      <c r="G19" s="282">
        <f>E19/$E$20</f>
        <v>6.7528562732844999E-3</v>
      </c>
      <c r="H19" s="282">
        <f t="shared" si="1"/>
        <v>4.8720620259818277E-2</v>
      </c>
      <c r="I19" s="288">
        <v>213.072</v>
      </c>
      <c r="J19" s="113">
        <v>2325.6949100000002</v>
      </c>
      <c r="K19" s="282">
        <f>I19/$I$20</f>
        <v>6.3965255007237334E-3</v>
      </c>
      <c r="L19" s="68"/>
      <c r="M19" s="68"/>
      <c r="N19" s="68"/>
      <c r="O19" s="68"/>
    </row>
    <row r="20" spans="1:20" ht="11.15" customHeight="1">
      <c r="A20" s="399"/>
      <c r="B20" s="399"/>
      <c r="C20" s="293" t="s">
        <v>0</v>
      </c>
      <c r="D20" s="296">
        <v>89416</v>
      </c>
      <c r="E20" s="294">
        <v>33090.146000000001</v>
      </c>
      <c r="F20" s="294">
        <v>364263.96554</v>
      </c>
      <c r="G20" s="295">
        <f>SUM(G15:G19)</f>
        <v>0.99999999999999989</v>
      </c>
      <c r="H20" s="295">
        <f t="shared" si="1"/>
        <v>-6.6176564181523179E-3</v>
      </c>
      <c r="I20" s="296">
        <v>33310.584000000003</v>
      </c>
      <c r="J20" s="294">
        <v>363579.79622000002</v>
      </c>
      <c r="K20" s="295">
        <f>SUM(K15:K19)</f>
        <v>1</v>
      </c>
      <c r="L20" s="68"/>
      <c r="M20" s="68"/>
      <c r="N20" s="68"/>
      <c r="O20" s="68"/>
    </row>
    <row r="21" spans="1:20" ht="11.15" customHeight="1">
      <c r="A21" s="397" t="str">
        <f>'3.1'!F5</f>
        <v>Prosinec</v>
      </c>
      <c r="B21" s="397"/>
      <c r="C21" s="147" t="s">
        <v>4</v>
      </c>
      <c r="D21" s="287">
        <v>84</v>
      </c>
      <c r="E21" s="283">
        <v>12376.349</v>
      </c>
      <c r="F21" s="283">
        <v>135857.85608</v>
      </c>
      <c r="G21" s="284">
        <f>E21/$E$26</f>
        <v>0.34020572960003809</v>
      </c>
      <c r="H21" s="284">
        <f>(E21-I21)/I21</f>
        <v>-4.2116506802050278E-2</v>
      </c>
      <c r="I21" s="287">
        <v>12920.516</v>
      </c>
      <c r="J21" s="283">
        <v>140659.45481</v>
      </c>
      <c r="K21" s="284">
        <f>I21/$I$26</f>
        <v>0.34254897320141198</v>
      </c>
      <c r="L21" s="78"/>
      <c r="M21" s="78"/>
      <c r="N21" s="78"/>
      <c r="O21" s="78"/>
      <c r="P21" s="78"/>
      <c r="Q21" s="78"/>
      <c r="R21" s="78"/>
      <c r="S21" s="78"/>
      <c r="T21" s="78"/>
    </row>
    <row r="22" spans="1:20" ht="11.15" customHeight="1">
      <c r="A22" s="398"/>
      <c r="B22" s="398"/>
      <c r="C22" s="137" t="s">
        <v>5</v>
      </c>
      <c r="D22" s="288">
        <v>246</v>
      </c>
      <c r="E22" s="113">
        <v>3834.8809999999999</v>
      </c>
      <c r="F22" s="113">
        <v>42095.876190000003</v>
      </c>
      <c r="G22" s="282">
        <f>E22/$E$26</f>
        <v>0.10541464922606203</v>
      </c>
      <c r="H22" s="282">
        <f t="shared" ref="H22:H26" si="2">(E22-I22)/I22</f>
        <v>-5.6529070631384973E-2</v>
      </c>
      <c r="I22" s="288">
        <v>4064.652</v>
      </c>
      <c r="J22" s="113">
        <v>44249.951739999997</v>
      </c>
      <c r="K22" s="282">
        <f>I22/$I$26</f>
        <v>0.10776213341797383</v>
      </c>
      <c r="L22" s="78"/>
      <c r="M22" s="78"/>
      <c r="N22" s="78"/>
      <c r="O22" s="78"/>
      <c r="P22" s="78"/>
      <c r="Q22" s="78"/>
      <c r="R22" s="78"/>
      <c r="S22" s="78"/>
      <c r="T22" s="78"/>
    </row>
    <row r="23" spans="1:20" ht="11.15" customHeight="1">
      <c r="A23" s="398"/>
      <c r="B23" s="398"/>
      <c r="C23" s="137" t="s">
        <v>6</v>
      </c>
      <c r="D23" s="288">
        <v>8650</v>
      </c>
      <c r="E23" s="113">
        <v>8906.2420000000002</v>
      </c>
      <c r="F23" s="113">
        <v>97759.612250000006</v>
      </c>
      <c r="G23" s="282">
        <f>E23/$E$26</f>
        <v>0.24481812508717249</v>
      </c>
      <c r="H23" s="282">
        <f t="shared" si="2"/>
        <v>-2.5150136591296907E-2</v>
      </c>
      <c r="I23" s="288">
        <v>9136.014000000001</v>
      </c>
      <c r="J23" s="113">
        <v>99453.389230000001</v>
      </c>
      <c r="K23" s="282">
        <f>I23/$I$26</f>
        <v>0.2422141820693326</v>
      </c>
      <c r="L23" s="78"/>
      <c r="M23" s="78"/>
      <c r="N23" s="78"/>
      <c r="O23" s="78"/>
      <c r="P23" s="78"/>
      <c r="Q23" s="78"/>
      <c r="R23" s="78"/>
      <c r="S23" s="78"/>
      <c r="T23" s="78"/>
    </row>
    <row r="24" spans="1:20" ht="11.15" customHeight="1">
      <c r="A24" s="398"/>
      <c r="B24" s="398"/>
      <c r="C24" s="137" t="s">
        <v>7</v>
      </c>
      <c r="D24" s="288">
        <v>80399</v>
      </c>
      <c r="E24" s="113">
        <v>11041.1</v>
      </c>
      <c r="F24" s="113">
        <v>121200.6</v>
      </c>
      <c r="G24" s="282">
        <f>E24/$E$26</f>
        <v>0.30350190359749718</v>
      </c>
      <c r="H24" s="282">
        <f t="shared" si="2"/>
        <v>-3.0581066605791286E-2</v>
      </c>
      <c r="I24" s="288">
        <v>11389.4</v>
      </c>
      <c r="J24" s="113">
        <v>123991.4</v>
      </c>
      <c r="K24" s="282">
        <f>I24/$I$26</f>
        <v>0.30195599582711413</v>
      </c>
      <c r="L24" s="78"/>
      <c r="M24" s="78"/>
      <c r="N24" s="78"/>
      <c r="O24" s="78"/>
      <c r="P24" s="78"/>
      <c r="Q24" s="78"/>
      <c r="R24" s="78"/>
      <c r="S24" s="78"/>
      <c r="T24" s="78"/>
    </row>
    <row r="25" spans="1:20" ht="11.15" customHeight="1">
      <c r="A25" s="398"/>
      <c r="B25" s="398"/>
      <c r="C25" s="137" t="s">
        <v>90</v>
      </c>
      <c r="D25" s="288">
        <v>8</v>
      </c>
      <c r="E25" s="113">
        <v>220.44200000000001</v>
      </c>
      <c r="F25" s="113">
        <v>2419.8445000000002</v>
      </c>
      <c r="G25" s="282">
        <f>E25/$E$26</f>
        <v>6.0595924892301919E-3</v>
      </c>
      <c r="H25" s="282">
        <f t="shared" si="2"/>
        <v>5.9007777708386451E-2</v>
      </c>
      <c r="I25" s="288">
        <v>208.15899999999999</v>
      </c>
      <c r="J25" s="113">
        <v>2266.1298700000002</v>
      </c>
      <c r="K25" s="282">
        <f>I25/$I$26</f>
        <v>5.5187154841674062E-3</v>
      </c>
      <c r="L25" s="78"/>
      <c r="M25" s="78"/>
      <c r="N25" s="78"/>
      <c r="O25" s="78"/>
      <c r="P25" s="78"/>
      <c r="Q25" s="78"/>
      <c r="R25" s="78"/>
      <c r="S25" s="78"/>
      <c r="T25" s="78"/>
    </row>
    <row r="26" spans="1:20" ht="11.15" customHeight="1">
      <c r="A26" s="399"/>
      <c r="B26" s="399"/>
      <c r="C26" s="293" t="s">
        <v>0</v>
      </c>
      <c r="D26" s="296">
        <v>89387</v>
      </c>
      <c r="E26" s="294">
        <v>36379.014000000003</v>
      </c>
      <c r="F26" s="294">
        <v>399333.78902000003</v>
      </c>
      <c r="G26" s="295">
        <f>SUM(G21:G25)</f>
        <v>0.99999999999999989</v>
      </c>
      <c r="H26" s="295">
        <f t="shared" si="2"/>
        <v>-3.5518868458520363E-2</v>
      </c>
      <c r="I26" s="296">
        <v>37718.741000000002</v>
      </c>
      <c r="J26" s="294">
        <v>410620.32564999996</v>
      </c>
      <c r="K26" s="295">
        <f>SUM(K21:K25)</f>
        <v>0.99999999999999978</v>
      </c>
    </row>
    <row r="27" spans="1:20" ht="11.15" customHeight="1">
      <c r="A27" s="467" t="str">
        <f>'3.1'!G5</f>
        <v>IV. čtvrtletí</v>
      </c>
      <c r="B27" s="397"/>
      <c r="C27" s="147" t="s">
        <v>4</v>
      </c>
      <c r="D27" s="287">
        <f>D21</f>
        <v>84</v>
      </c>
      <c r="E27" s="283">
        <f>E9+E15+E21</f>
        <v>35351.313000000002</v>
      </c>
      <c r="F27" s="283">
        <f>F9+F15+F21</f>
        <v>389177.62309000001</v>
      </c>
      <c r="G27" s="284">
        <f>E27/$E$32</f>
        <v>0.38105940777935748</v>
      </c>
      <c r="H27" s="284">
        <f>(E27-I27)/I27</f>
        <v>1.552062932707745E-2</v>
      </c>
      <c r="I27" s="287">
        <f>I9+I15+I21</f>
        <v>34811.024000000005</v>
      </c>
      <c r="J27" s="283">
        <f>J9+J15+J21</f>
        <v>379916.09574000002</v>
      </c>
      <c r="K27" s="284">
        <f>I27/$I$32</f>
        <v>0.38084202800411737</v>
      </c>
    </row>
    <row r="28" spans="1:20" ht="11.15" customHeight="1">
      <c r="A28" s="398"/>
      <c r="B28" s="398"/>
      <c r="C28" s="137" t="s">
        <v>5</v>
      </c>
      <c r="D28" s="288">
        <f>D22</f>
        <v>246</v>
      </c>
      <c r="E28" s="113">
        <f t="shared" ref="E28:F31" si="3">E10+E16+E22</f>
        <v>9883.5159999999996</v>
      </c>
      <c r="F28" s="113">
        <f t="shared" si="3"/>
        <v>108785.72313</v>
      </c>
      <c r="G28" s="282">
        <f>E28/$E$32</f>
        <v>0.10653654515570055</v>
      </c>
      <c r="H28" s="282">
        <f t="shared" ref="H28:H31" si="4">(E28-I28)/I28</f>
        <v>-2.3564043267201649E-2</v>
      </c>
      <c r="I28" s="288">
        <f t="shared" ref="I28:J28" si="5">I10+I16+I22</f>
        <v>10122.031999999999</v>
      </c>
      <c r="J28" s="113">
        <f t="shared" si="5"/>
        <v>110450.27283</v>
      </c>
      <c r="K28" s="282">
        <f>I28/$I$32</f>
        <v>0.11073777072465812</v>
      </c>
    </row>
    <row r="29" spans="1:20" ht="11.15" customHeight="1">
      <c r="A29" s="398"/>
      <c r="B29" s="398"/>
      <c r="C29" s="137" t="s">
        <v>6</v>
      </c>
      <c r="D29" s="288">
        <f>D23</f>
        <v>8650</v>
      </c>
      <c r="E29" s="113">
        <f t="shared" si="3"/>
        <v>21081.843000000001</v>
      </c>
      <c r="F29" s="113">
        <f t="shared" si="3"/>
        <v>231975.97977999999</v>
      </c>
      <c r="G29" s="282">
        <f>E29/$E$32</f>
        <v>0.22724572092916018</v>
      </c>
      <c r="H29" s="282">
        <f t="shared" si="4"/>
        <v>1.7072245859097616E-2</v>
      </c>
      <c r="I29" s="288">
        <f t="shared" ref="I29:J29" si="6">I11+I17+I23</f>
        <v>20727.97</v>
      </c>
      <c r="J29" s="113">
        <f t="shared" si="6"/>
        <v>226112.86874999999</v>
      </c>
      <c r="K29" s="282">
        <f>I29/$I$32</f>
        <v>0.22676960411186137</v>
      </c>
    </row>
    <row r="30" spans="1:20" ht="11.15" customHeight="1">
      <c r="A30" s="398"/>
      <c r="B30" s="398"/>
      <c r="C30" s="137" t="s">
        <v>7</v>
      </c>
      <c r="D30" s="288">
        <f>D24</f>
        <v>80399</v>
      </c>
      <c r="E30" s="113">
        <f t="shared" si="3"/>
        <v>25767</v>
      </c>
      <c r="F30" s="113">
        <f t="shared" si="3"/>
        <v>283542</v>
      </c>
      <c r="G30" s="282">
        <f>E30/$E$32</f>
        <v>0.27774803612671201</v>
      </c>
      <c r="H30" s="282">
        <f t="shared" si="4"/>
        <v>2.6831435778701545E-2</v>
      </c>
      <c r="I30" s="288">
        <f t="shared" ref="I30:J30" si="7">I12+I18+I24</f>
        <v>25093.699999999997</v>
      </c>
      <c r="J30" s="113">
        <f t="shared" si="7"/>
        <v>273739.69999999995</v>
      </c>
      <c r="K30" s="282">
        <f>I30/$I$32</f>
        <v>0.27453187237832816</v>
      </c>
    </row>
    <row r="31" spans="1:20" ht="11.15" customHeight="1">
      <c r="A31" s="398"/>
      <c r="B31" s="398"/>
      <c r="C31" s="137" t="s">
        <v>90</v>
      </c>
      <c r="D31" s="288">
        <f>D25</f>
        <v>8</v>
      </c>
      <c r="E31" s="113">
        <f>E13+E19+E25</f>
        <v>687.46100000000001</v>
      </c>
      <c r="F31" s="113">
        <f t="shared" si="3"/>
        <v>7570.8523300000006</v>
      </c>
      <c r="G31" s="282">
        <f>E31/$E$32</f>
        <v>7.4102900090699565E-3</v>
      </c>
      <c r="H31" s="282">
        <f t="shared" si="4"/>
        <v>5.6510780863391098E-2</v>
      </c>
      <c r="I31" s="288">
        <f>I13+I19+I25</f>
        <v>650.69000000000005</v>
      </c>
      <c r="J31" s="113">
        <f t="shared" ref="J31" si="8">J13+J19+J25</f>
        <v>7104.5187000000005</v>
      </c>
      <c r="K31" s="282">
        <f>I31/$I$32</f>
        <v>7.1187247810348565E-3</v>
      </c>
    </row>
    <row r="32" spans="1:20" ht="11.15" customHeight="1">
      <c r="A32" s="399"/>
      <c r="B32" s="399"/>
      <c r="C32" s="293" t="s">
        <v>0</v>
      </c>
      <c r="D32" s="296">
        <f>SUM(D27:D31)</f>
        <v>89387</v>
      </c>
      <c r="E32" s="294">
        <f>SUM(E27:E31)</f>
        <v>92771.132999999987</v>
      </c>
      <c r="F32" s="294">
        <f>SUM(F27:F31)</f>
        <v>1021052.17833</v>
      </c>
      <c r="G32" s="295">
        <f>SUM(G27:G31)</f>
        <v>1.0000000000000002</v>
      </c>
      <c r="H32" s="295">
        <f>(E32-I32)/I32</f>
        <v>1.4941313761976369E-2</v>
      </c>
      <c r="I32" s="296">
        <f>SUM(I27:I31)</f>
        <v>91405.416000000012</v>
      </c>
      <c r="J32" s="294">
        <f>SUM(J27:J31)</f>
        <v>997323.45602000004</v>
      </c>
      <c r="K32" s="295">
        <f>SUM(K27:K31)</f>
        <v>0.99999999999999989</v>
      </c>
    </row>
    <row r="33" spans="1:11" ht="10" customHeight="1">
      <c r="A33" s="332"/>
      <c r="B33" s="333"/>
      <c r="C33" s="334"/>
      <c r="D33" s="335"/>
      <c r="E33" s="335"/>
      <c r="F33" s="335"/>
      <c r="G33" s="336"/>
      <c r="H33" s="337"/>
      <c r="I33" s="335"/>
      <c r="J33" s="335"/>
      <c r="K33" s="336"/>
    </row>
    <row r="34" spans="1:11" ht="13" customHeight="1">
      <c r="A34" s="492" t="s">
        <v>39</v>
      </c>
      <c r="B34" s="492"/>
      <c r="C34" s="492"/>
      <c r="D34" s="457">
        <f>D4</f>
        <v>2025</v>
      </c>
      <c r="E34" s="328"/>
      <c r="F34" s="317"/>
      <c r="G34" s="317"/>
      <c r="H34" s="317"/>
      <c r="I34" s="457">
        <f>D34-1</f>
        <v>2024</v>
      </c>
      <c r="J34" s="458"/>
      <c r="K34" s="458"/>
    </row>
    <row r="35" spans="1:11" ht="25" customHeight="1">
      <c r="A35" s="279"/>
      <c r="B35" s="253"/>
      <c r="C35" s="133"/>
      <c r="D35" s="459"/>
      <c r="E35" s="329"/>
      <c r="F35" s="330"/>
      <c r="G35" s="330"/>
      <c r="H35" s="331"/>
      <c r="I35" s="459"/>
      <c r="J35" s="460"/>
      <c r="K35" s="460"/>
    </row>
    <row r="36" spans="1:11" ht="25" customHeight="1">
      <c r="A36" s="114"/>
      <c r="B36" s="115"/>
      <c r="C36" s="327"/>
      <c r="D36" s="338" t="s">
        <v>156</v>
      </c>
      <c r="E36" s="455" t="s">
        <v>59</v>
      </c>
      <c r="F36" s="455"/>
      <c r="G36" s="456" t="s">
        <v>32</v>
      </c>
      <c r="H36" s="456" t="s">
        <v>256</v>
      </c>
      <c r="I36" s="453" t="s">
        <v>59</v>
      </c>
      <c r="J36" s="454"/>
      <c r="K36" s="456" t="s">
        <v>32</v>
      </c>
    </row>
    <row r="37" spans="1:11" ht="25" customHeight="1">
      <c r="A37" s="114"/>
      <c r="B37" s="281"/>
      <c r="C37" s="281"/>
      <c r="D37" s="339"/>
      <c r="E37" s="455"/>
      <c r="F37" s="455"/>
      <c r="G37" s="456"/>
      <c r="H37" s="456"/>
      <c r="I37" s="453"/>
      <c r="J37" s="454"/>
      <c r="K37" s="456"/>
    </row>
    <row r="38" spans="1:11" ht="15" customHeight="1">
      <c r="A38" s="493" t="s">
        <v>155</v>
      </c>
      <c r="B38" s="493"/>
      <c r="C38" s="340" t="s">
        <v>180</v>
      </c>
      <c r="D38" s="318"/>
      <c r="E38" s="201" t="s">
        <v>247</v>
      </c>
      <c r="F38" s="201" t="s">
        <v>248</v>
      </c>
      <c r="G38" s="442"/>
      <c r="H38" s="442"/>
      <c r="I38" s="203" t="s">
        <v>247</v>
      </c>
      <c r="J38" s="201" t="s">
        <v>248</v>
      </c>
      <c r="K38" s="442"/>
    </row>
    <row r="39" spans="1:11" ht="11.15" customHeight="1">
      <c r="A39" s="397" t="str">
        <f>'3.1'!D5</f>
        <v>Říjen</v>
      </c>
      <c r="B39" s="397"/>
      <c r="C39" s="147" t="s">
        <v>4</v>
      </c>
      <c r="D39" s="287">
        <v>190</v>
      </c>
      <c r="E39" s="283">
        <v>39410.123</v>
      </c>
      <c r="F39" s="283">
        <v>435164.21600000001</v>
      </c>
      <c r="G39" s="284">
        <f>E39/$E$44</f>
        <v>0.55444710562280064</v>
      </c>
      <c r="H39" s="284">
        <f>(E39-I39)/I39</f>
        <v>0.24168733723580901</v>
      </c>
      <c r="I39" s="287">
        <v>31739.168000000001</v>
      </c>
      <c r="J39" s="283">
        <v>347342.24608999997</v>
      </c>
      <c r="K39" s="284">
        <f>I39/$I$44</f>
        <v>0.55413595378419933</v>
      </c>
    </row>
    <row r="40" spans="1:11" ht="11.15" customHeight="1">
      <c r="A40" s="398"/>
      <c r="B40" s="398"/>
      <c r="C40" s="137" t="s">
        <v>5</v>
      </c>
      <c r="D40" s="288">
        <v>405</v>
      </c>
      <c r="E40" s="113">
        <v>5884.9450000000006</v>
      </c>
      <c r="F40" s="113">
        <v>64994.234210000002</v>
      </c>
      <c r="G40" s="282">
        <f t="shared" ref="G40" si="9">E40/$E$44</f>
        <v>8.2793213357882006E-2</v>
      </c>
      <c r="H40" s="282">
        <f>(E40-I40)/I40</f>
        <v>0.49552431259876034</v>
      </c>
      <c r="I40" s="288">
        <v>3935.038</v>
      </c>
      <c r="J40" s="113">
        <v>43072.091</v>
      </c>
      <c r="K40" s="282">
        <f t="shared" ref="K40:K43" si="10">I40/$I$44</f>
        <v>6.8702054045873789E-2</v>
      </c>
    </row>
    <row r="41" spans="1:11" ht="11.15" customHeight="1">
      <c r="A41" s="398"/>
      <c r="B41" s="398"/>
      <c r="C41" s="137" t="s">
        <v>6</v>
      </c>
      <c r="D41" s="288">
        <v>17933</v>
      </c>
      <c r="E41" s="113">
        <v>7710.0889999999999</v>
      </c>
      <c r="F41" s="113">
        <v>85167.391229999994</v>
      </c>
      <c r="G41" s="282">
        <f>E41/$E$44</f>
        <v>0.10847051987491116</v>
      </c>
      <c r="H41" s="282">
        <f t="shared" ref="H41:H43" si="11">(E41-I41)/I41</f>
        <v>0.17647752656313692</v>
      </c>
      <c r="I41" s="288">
        <v>6553.5369999999994</v>
      </c>
      <c r="J41" s="113">
        <v>71745.175969999997</v>
      </c>
      <c r="K41" s="282">
        <f t="shared" si="10"/>
        <v>0.11441857821084156</v>
      </c>
    </row>
    <row r="42" spans="1:11" ht="11.15" customHeight="1">
      <c r="A42" s="398"/>
      <c r="B42" s="398"/>
      <c r="C42" s="137" t="s">
        <v>7</v>
      </c>
      <c r="D42" s="288">
        <v>344182</v>
      </c>
      <c r="E42" s="113">
        <v>15996.02</v>
      </c>
      <c r="F42" s="113">
        <v>176737.61799999999</v>
      </c>
      <c r="G42" s="282">
        <f>E42/$E$44</f>
        <v>0.22504235753043531</v>
      </c>
      <c r="H42" s="282">
        <f t="shared" si="11"/>
        <v>0.23288075608576117</v>
      </c>
      <c r="I42" s="288">
        <v>12974.507</v>
      </c>
      <c r="J42" s="113">
        <v>142074.15900000001</v>
      </c>
      <c r="K42" s="282">
        <f t="shared" si="10"/>
        <v>0.22652266156834261</v>
      </c>
    </row>
    <row r="43" spans="1:11" ht="11.15" customHeight="1">
      <c r="A43" s="398"/>
      <c r="B43" s="398"/>
      <c r="C43" s="137" t="s">
        <v>90</v>
      </c>
      <c r="D43" s="288">
        <v>35</v>
      </c>
      <c r="E43" s="113">
        <v>2078.864</v>
      </c>
      <c r="F43" s="113">
        <v>22964.28282</v>
      </c>
      <c r="G43" s="282">
        <f>E43/$E$44</f>
        <v>2.9246803613970904E-2</v>
      </c>
      <c r="H43" s="282">
        <f t="shared" si="11"/>
        <v>2.0500228717577206E-3</v>
      </c>
      <c r="I43" s="288">
        <v>2074.6109999999999</v>
      </c>
      <c r="J43" s="113">
        <v>22702.407909999998</v>
      </c>
      <c r="K43" s="282">
        <f t="shared" si="10"/>
        <v>3.6220752390742926E-2</v>
      </c>
    </row>
    <row r="44" spans="1:11" ht="11.15" customHeight="1">
      <c r="A44" s="399"/>
      <c r="B44" s="399"/>
      <c r="C44" s="293" t="s">
        <v>0</v>
      </c>
      <c r="D44" s="296">
        <v>362745</v>
      </c>
      <c r="E44" s="294">
        <v>71080.040999999997</v>
      </c>
      <c r="F44" s="294">
        <v>785027.74225999997</v>
      </c>
      <c r="G44" s="295">
        <f>SUM(G39:G43)</f>
        <v>1</v>
      </c>
      <c r="H44" s="295">
        <f>(E44-I44)/I44</f>
        <v>0.24099051098488114</v>
      </c>
      <c r="I44" s="296">
        <v>57276.86099999999</v>
      </c>
      <c r="J44" s="294">
        <v>626936.07996999996</v>
      </c>
      <c r="K44" s="295">
        <f>SUM(K39:K43)</f>
        <v>1.0000000000000002</v>
      </c>
    </row>
    <row r="45" spans="1:11" ht="11.15" customHeight="1">
      <c r="A45" s="397" t="str">
        <f>'3.1'!E5</f>
        <v>Listopad</v>
      </c>
      <c r="B45" s="397"/>
      <c r="C45" s="147" t="s">
        <v>4</v>
      </c>
      <c r="D45" s="287">
        <v>185</v>
      </c>
      <c r="E45" s="283">
        <v>46063.784000000007</v>
      </c>
      <c r="F45" s="283">
        <v>506792.81910700002</v>
      </c>
      <c r="G45" s="284">
        <f>E45/$E$50</f>
        <v>0.50000723463842855</v>
      </c>
      <c r="H45" s="284">
        <f>(E45-I45)/I45</f>
        <v>0.12850913992814597</v>
      </c>
      <c r="I45" s="287">
        <v>40818.264000000003</v>
      </c>
      <c r="J45" s="283">
        <v>445201.14354999998</v>
      </c>
      <c r="K45" s="284">
        <f>I45/$I$50</f>
        <v>0.4779123563254391</v>
      </c>
    </row>
    <row r="46" spans="1:11" ht="11.15" customHeight="1">
      <c r="A46" s="398"/>
      <c r="B46" s="398"/>
      <c r="C46" s="137" t="s">
        <v>5</v>
      </c>
      <c r="D46" s="288">
        <v>403</v>
      </c>
      <c r="E46" s="113">
        <v>7126.8090000000002</v>
      </c>
      <c r="F46" s="113">
        <v>78416.893200000006</v>
      </c>
      <c r="G46" s="282">
        <f t="shared" ref="G46:G49" si="12">E46/$E$50</f>
        <v>7.7359169187799767E-2</v>
      </c>
      <c r="H46" s="282">
        <f>(E46-I46)/I46</f>
        <v>0.36481322603996297</v>
      </c>
      <c r="I46" s="288">
        <v>5221.8200000000006</v>
      </c>
      <c r="J46" s="113">
        <v>56965.444600000003</v>
      </c>
      <c r="K46" s="282">
        <f t="shared" ref="K46:K49" si="13">I46/$I$50</f>
        <v>6.1138619234451137E-2</v>
      </c>
    </row>
    <row r="47" spans="1:11" ht="11.15" customHeight="1">
      <c r="A47" s="398"/>
      <c r="B47" s="398"/>
      <c r="C47" s="137" t="s">
        <v>6</v>
      </c>
      <c r="D47" s="288">
        <v>17924</v>
      </c>
      <c r="E47" s="113">
        <v>11906.369000000001</v>
      </c>
      <c r="F47" s="113">
        <v>131051.37321000002</v>
      </c>
      <c r="G47" s="282">
        <f t="shared" si="12"/>
        <v>0.12923972199667119</v>
      </c>
      <c r="H47" s="282">
        <f t="shared" ref="H47:H49" si="14">(E47-I47)/I47</f>
        <v>-1.9117229570697069E-2</v>
      </c>
      <c r="I47" s="288">
        <v>12138.422</v>
      </c>
      <c r="J47" s="113">
        <v>132468.15346999999</v>
      </c>
      <c r="K47" s="282">
        <f t="shared" si="13"/>
        <v>0.14212024940826853</v>
      </c>
    </row>
    <row r="48" spans="1:11" ht="11.15" customHeight="1">
      <c r="A48" s="398"/>
      <c r="B48" s="398"/>
      <c r="C48" s="137" t="s">
        <v>7</v>
      </c>
      <c r="D48" s="288">
        <v>344001</v>
      </c>
      <c r="E48" s="113">
        <v>24977.8</v>
      </c>
      <c r="F48" s="113">
        <v>274966.40000000002</v>
      </c>
      <c r="G48" s="282">
        <f t="shared" si="12"/>
        <v>0.27112580905971029</v>
      </c>
      <c r="H48" s="282">
        <f t="shared" si="14"/>
        <v>-7.1272125960464153E-3</v>
      </c>
      <c r="I48" s="288">
        <v>25157.1</v>
      </c>
      <c r="J48" s="113">
        <v>274590.5</v>
      </c>
      <c r="K48" s="282">
        <f t="shared" si="13"/>
        <v>0.29454679746582813</v>
      </c>
    </row>
    <row r="49" spans="1:11" ht="11.15" customHeight="1">
      <c r="A49" s="398"/>
      <c r="B49" s="398"/>
      <c r="C49" s="137" t="s">
        <v>90</v>
      </c>
      <c r="D49" s="288">
        <v>35</v>
      </c>
      <c r="E49" s="113">
        <v>2051.473</v>
      </c>
      <c r="F49" s="113">
        <v>22575.454129999998</v>
      </c>
      <c r="G49" s="282">
        <f t="shared" si="12"/>
        <v>2.2268065117390285E-2</v>
      </c>
      <c r="H49" s="282">
        <f t="shared" si="14"/>
        <v>-1.0819649049718529E-2</v>
      </c>
      <c r="I49" s="288">
        <v>2073.9119999999998</v>
      </c>
      <c r="J49" s="113">
        <v>22621.82905</v>
      </c>
      <c r="K49" s="282">
        <f t="shared" si="13"/>
        <v>2.4281977566013191E-2</v>
      </c>
    </row>
    <row r="50" spans="1:11" ht="11.15" customHeight="1">
      <c r="A50" s="399"/>
      <c r="B50" s="399"/>
      <c r="C50" s="293" t="s">
        <v>0</v>
      </c>
      <c r="D50" s="296">
        <v>362548</v>
      </c>
      <c r="E50" s="294">
        <v>92126.235000000001</v>
      </c>
      <c r="F50" s="294">
        <v>1013802.9396470001</v>
      </c>
      <c r="G50" s="295">
        <f>SUM(G45:G49)</f>
        <v>1</v>
      </c>
      <c r="H50" s="295">
        <f t="shared" ref="H50" si="15">(E50-I50)/I50</f>
        <v>7.8641317235861277E-2</v>
      </c>
      <c r="I50" s="296">
        <v>85409.517999999996</v>
      </c>
      <c r="J50" s="294">
        <v>931847.07067000004</v>
      </c>
      <c r="K50" s="295">
        <f>SUM(K45:K49)</f>
        <v>1</v>
      </c>
    </row>
    <row r="51" spans="1:11" ht="11.15" customHeight="1">
      <c r="A51" s="397" t="str">
        <f>'3.1'!F5</f>
        <v>Prosinec</v>
      </c>
      <c r="B51" s="397"/>
      <c r="C51" s="147" t="s">
        <v>4</v>
      </c>
      <c r="D51" s="287">
        <v>185</v>
      </c>
      <c r="E51" s="283">
        <v>45505.305999999997</v>
      </c>
      <c r="F51" s="283">
        <v>499337.987257</v>
      </c>
      <c r="G51" s="284">
        <f>E51/$E$56</f>
        <v>0.45335967999049315</v>
      </c>
      <c r="H51" s="284">
        <f>(E51-I51)/I51</f>
        <v>6.8295190994894131E-2</v>
      </c>
      <c r="I51" s="287">
        <v>42596.191000000006</v>
      </c>
      <c r="J51" s="283">
        <v>463489.14540000004</v>
      </c>
      <c r="K51" s="284">
        <f>I51/$I$56</f>
        <v>0.43603486031689576</v>
      </c>
    </row>
    <row r="52" spans="1:11" ht="11.15" customHeight="1">
      <c r="A52" s="398"/>
      <c r="B52" s="398"/>
      <c r="C52" s="137" t="s">
        <v>5</v>
      </c>
      <c r="D52" s="288">
        <v>403</v>
      </c>
      <c r="E52" s="113">
        <v>7545.95</v>
      </c>
      <c r="F52" s="113">
        <v>82801.861519999991</v>
      </c>
      <c r="G52" s="282">
        <f t="shared" ref="G52:G55" si="16">E52/$E$56</f>
        <v>7.5178694045574868E-2</v>
      </c>
      <c r="H52" s="282">
        <f t="shared" ref="H52:H55" si="17">(E52-I52)/I52</f>
        <v>0.15362906345063038</v>
      </c>
      <c r="I52" s="288">
        <v>6541.0540000000001</v>
      </c>
      <c r="J52" s="113">
        <v>71184.172920000012</v>
      </c>
      <c r="K52" s="282">
        <f t="shared" ref="K52:K55" si="18">I52/$I$56</f>
        <v>6.6957338209307771E-2</v>
      </c>
    </row>
    <row r="53" spans="1:11" ht="11.15" customHeight="1">
      <c r="A53" s="398"/>
      <c r="B53" s="398"/>
      <c r="C53" s="137" t="s">
        <v>6</v>
      </c>
      <c r="D53" s="288">
        <v>17932</v>
      </c>
      <c r="E53" s="113">
        <v>14354.427</v>
      </c>
      <c r="F53" s="113">
        <v>157549.94431000002</v>
      </c>
      <c r="G53" s="282">
        <f t="shared" si="16"/>
        <v>0.14301010152897103</v>
      </c>
      <c r="H53" s="282">
        <f t="shared" si="17"/>
        <v>-2.4309296579467687E-2</v>
      </c>
      <c r="I53" s="288">
        <v>14712.066999999999</v>
      </c>
      <c r="J53" s="113">
        <v>160144.31934000002</v>
      </c>
      <c r="K53" s="282">
        <f t="shared" si="18"/>
        <v>0.15059971158730626</v>
      </c>
    </row>
    <row r="54" spans="1:11" ht="11.15" customHeight="1">
      <c r="A54" s="398"/>
      <c r="B54" s="398"/>
      <c r="C54" s="137" t="s">
        <v>7</v>
      </c>
      <c r="D54" s="288">
        <v>343862</v>
      </c>
      <c r="E54" s="113">
        <v>30927.182999999997</v>
      </c>
      <c r="F54" s="113">
        <v>339429.47100000002</v>
      </c>
      <c r="G54" s="282">
        <f t="shared" si="16"/>
        <v>0.30812094281680952</v>
      </c>
      <c r="H54" s="282">
        <f t="shared" si="17"/>
        <v>-2.9596245146127395E-2</v>
      </c>
      <c r="I54" s="288">
        <v>31870.428</v>
      </c>
      <c r="J54" s="113">
        <v>346920.03600000002</v>
      </c>
      <c r="K54" s="282">
        <f t="shared" si="18"/>
        <v>0.32624085147002185</v>
      </c>
    </row>
    <row r="55" spans="1:11" ht="11.15" customHeight="1">
      <c r="A55" s="398"/>
      <c r="B55" s="398"/>
      <c r="C55" s="137" t="s">
        <v>90</v>
      </c>
      <c r="D55" s="288">
        <v>35</v>
      </c>
      <c r="E55" s="113">
        <v>2040.6519999999998</v>
      </c>
      <c r="F55" s="113">
        <v>22394.703240000003</v>
      </c>
      <c r="G55" s="282">
        <f t="shared" si="16"/>
        <v>2.0330581618151513E-2</v>
      </c>
      <c r="H55" s="282">
        <f t="shared" si="17"/>
        <v>3.579297865374699E-2</v>
      </c>
      <c r="I55" s="288">
        <v>1970.135</v>
      </c>
      <c r="J55" s="113">
        <v>21434.771760000003</v>
      </c>
      <c r="K55" s="282">
        <f t="shared" si="18"/>
        <v>2.016723841646844E-2</v>
      </c>
    </row>
    <row r="56" spans="1:11" ht="11.15" customHeight="1">
      <c r="A56" s="399"/>
      <c r="B56" s="399"/>
      <c r="C56" s="293" t="s">
        <v>0</v>
      </c>
      <c r="D56" s="296">
        <v>362417</v>
      </c>
      <c r="E56" s="294">
        <v>100373.51799999998</v>
      </c>
      <c r="F56" s="294">
        <v>1101513.9673269999</v>
      </c>
      <c r="G56" s="295">
        <f>SUM(G51:G55)</f>
        <v>1.0000000000000002</v>
      </c>
      <c r="H56" s="295">
        <f t="shared" ref="H56" si="19">(E56-I56)/I56</f>
        <v>2.7471045489616829E-2</v>
      </c>
      <c r="I56" s="296">
        <v>97689.875</v>
      </c>
      <c r="J56" s="294">
        <v>1063172.44542</v>
      </c>
      <c r="K56" s="295">
        <f>SUM(K51:K55)</f>
        <v>1</v>
      </c>
    </row>
    <row r="57" spans="1:11" ht="11.15" customHeight="1">
      <c r="A57" s="467" t="str">
        <f>'3.1'!G5</f>
        <v>IV. čtvrtletí</v>
      </c>
      <c r="B57" s="397"/>
      <c r="C57" s="147" t="s">
        <v>4</v>
      </c>
      <c r="D57" s="287">
        <f>D51</f>
        <v>185</v>
      </c>
      <c r="E57" s="283">
        <f>E39+E45+E51</f>
        <v>130979.213</v>
      </c>
      <c r="F57" s="283">
        <f>F39+F45+F51</f>
        <v>1441295.0223640001</v>
      </c>
      <c r="G57" s="284">
        <f>E57/$E$62</f>
        <v>0.49692433176421713</v>
      </c>
      <c r="H57" s="284">
        <f>(E57-I57)/I57</f>
        <v>0.13743023960262193</v>
      </c>
      <c r="I57" s="287">
        <f>I39+I45+I51</f>
        <v>115153.62300000001</v>
      </c>
      <c r="J57" s="283">
        <f>J39+J45+J51</f>
        <v>1256032.53504</v>
      </c>
      <c r="K57" s="284">
        <f>I57/$I$62</f>
        <v>0.47905573484808534</v>
      </c>
    </row>
    <row r="58" spans="1:11" ht="11.15" customHeight="1">
      <c r="A58" s="398"/>
      <c r="B58" s="398"/>
      <c r="C58" s="137" t="s">
        <v>5</v>
      </c>
      <c r="D58" s="288">
        <f>D52</f>
        <v>403</v>
      </c>
      <c r="E58" s="113">
        <f t="shared" ref="E58:F59" si="20">E40+E46+E52</f>
        <v>20557.704000000002</v>
      </c>
      <c r="F58" s="113">
        <f t="shared" si="20"/>
        <v>226212.98892999999</v>
      </c>
      <c r="G58" s="282">
        <f t="shared" ref="G58:G61" si="21">E58/$E$62</f>
        <v>7.7994233503346624E-2</v>
      </c>
      <c r="H58" s="282">
        <f t="shared" ref="H58:H61" si="22">(E58-I58)/I58</f>
        <v>0.30958206416241862</v>
      </c>
      <c r="I58" s="288">
        <f t="shared" ref="I58:J58" si="23">I40+I46+I52</f>
        <v>15697.912</v>
      </c>
      <c r="J58" s="113">
        <f t="shared" si="23"/>
        <v>171221.70852000001</v>
      </c>
      <c r="K58" s="282">
        <f t="shared" ref="K58:K61" si="24">I58/$I$62</f>
        <v>6.5305585467689345E-2</v>
      </c>
    </row>
    <row r="59" spans="1:11" ht="11.15" customHeight="1">
      <c r="A59" s="398"/>
      <c r="B59" s="398"/>
      <c r="C59" s="137" t="s">
        <v>6</v>
      </c>
      <c r="D59" s="288">
        <f>D53</f>
        <v>17932</v>
      </c>
      <c r="E59" s="113">
        <f>E41+E47+E53</f>
        <v>33970.884999999995</v>
      </c>
      <c r="F59" s="113">
        <f t="shared" si="20"/>
        <v>373768.70874999999</v>
      </c>
      <c r="G59" s="282">
        <f t="shared" si="21"/>
        <v>0.12888273598089237</v>
      </c>
      <c r="H59" s="282">
        <f t="shared" si="22"/>
        <v>1.6969780828215042E-2</v>
      </c>
      <c r="I59" s="288">
        <f>I41+I47+I53</f>
        <v>33404.025999999998</v>
      </c>
      <c r="J59" s="113">
        <f t="shared" ref="J59" si="25">J41+J47+J53</f>
        <v>364357.64878000005</v>
      </c>
      <c r="K59" s="282">
        <f t="shared" si="24"/>
        <v>0.1389655818498611</v>
      </c>
    </row>
    <row r="60" spans="1:11" ht="11.15" customHeight="1">
      <c r="A60" s="398"/>
      <c r="B60" s="398"/>
      <c r="C60" s="137" t="s">
        <v>7</v>
      </c>
      <c r="D60" s="288">
        <f>D54</f>
        <v>343862</v>
      </c>
      <c r="E60" s="113">
        <f t="shared" ref="E60:F61" si="26">E42+E48+E54</f>
        <v>71901.002999999997</v>
      </c>
      <c r="F60" s="113">
        <f t="shared" si="26"/>
        <v>791133.48900000006</v>
      </c>
      <c r="G60" s="282">
        <f t="shared" si="21"/>
        <v>0.2727864754306622</v>
      </c>
      <c r="H60" s="282">
        <f t="shared" si="22"/>
        <v>2.7127325655604061E-2</v>
      </c>
      <c r="I60" s="288">
        <f t="shared" ref="I60:J60" si="27">I42+I48+I54</f>
        <v>70002.035000000003</v>
      </c>
      <c r="J60" s="113">
        <f t="shared" si="27"/>
        <v>763584.69500000007</v>
      </c>
      <c r="K60" s="282">
        <f t="shared" si="24"/>
        <v>0.29121859516123422</v>
      </c>
    </row>
    <row r="61" spans="1:11" ht="11.15" customHeight="1">
      <c r="A61" s="398"/>
      <c r="B61" s="398"/>
      <c r="C61" s="137" t="s">
        <v>90</v>
      </c>
      <c r="D61" s="288">
        <f>D55</f>
        <v>35</v>
      </c>
      <c r="E61" s="113">
        <f>E43+E49+E55</f>
        <v>6170.9889999999996</v>
      </c>
      <c r="F61" s="113">
        <f t="shared" si="26"/>
        <v>67934.440189999994</v>
      </c>
      <c r="G61" s="282">
        <f t="shared" si="21"/>
        <v>2.341222332088172E-2</v>
      </c>
      <c r="H61" s="282">
        <f t="shared" si="22"/>
        <v>8.5526924368056097E-3</v>
      </c>
      <c r="I61" s="288">
        <f>I43+I49+I55</f>
        <v>6118.6579999999994</v>
      </c>
      <c r="J61" s="113">
        <f t="shared" ref="J61" si="28">J43+J49+J55</f>
        <v>66759.008719999998</v>
      </c>
      <c r="K61" s="282">
        <f t="shared" si="24"/>
        <v>2.5454502673130101E-2</v>
      </c>
    </row>
    <row r="62" spans="1:11" ht="11.15" customHeight="1">
      <c r="A62" s="399"/>
      <c r="B62" s="399"/>
      <c r="C62" s="293" t="s">
        <v>0</v>
      </c>
      <c r="D62" s="296">
        <f>SUM(D57:D61)</f>
        <v>362417</v>
      </c>
      <c r="E62" s="294">
        <f>SUM(E57:E61)</f>
        <v>263579.79399999999</v>
      </c>
      <c r="F62" s="294">
        <f>SUM(F57:F61)</f>
        <v>2900344.6492340001</v>
      </c>
      <c r="G62" s="295">
        <f>SUM(G57:G61)</f>
        <v>1.0000000000000002</v>
      </c>
      <c r="H62" s="295">
        <f>(E62-I62)/I62</f>
        <v>9.6530084040664058E-2</v>
      </c>
      <c r="I62" s="296">
        <f>SUM(I57:I61)</f>
        <v>240376.25399999999</v>
      </c>
      <c r="J62" s="294">
        <f>SUM(J57:J61)</f>
        <v>2621955.5960599999</v>
      </c>
      <c r="K62" s="295">
        <f>SUM(K57:K61)</f>
        <v>1</v>
      </c>
    </row>
    <row r="63" spans="1:11" ht="15" customHeight="1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1" ht="15" customHeight="1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I34:K35"/>
    <mergeCell ref="A51:B56"/>
    <mergeCell ref="I36:J37"/>
    <mergeCell ref="K36:K38"/>
    <mergeCell ref="A57:B62"/>
    <mergeCell ref="A39:B44"/>
    <mergeCell ref="A45:B50"/>
    <mergeCell ref="A27:B32"/>
    <mergeCell ref="H36:H38"/>
    <mergeCell ref="A38:B38"/>
    <mergeCell ref="E36:F37"/>
    <mergeCell ref="G36:G38"/>
    <mergeCell ref="A34:C34"/>
    <mergeCell ref="D34:D35"/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26"/>
  <dimension ref="A1:T120"/>
  <sheetViews>
    <sheetView showGridLines="0" topLeftCell="A15" zoomScaleNormal="100" zoomScaleSheetLayoutView="100" workbookViewId="0">
      <selection activeCell="G1" sqref="G1"/>
    </sheetView>
  </sheetViews>
  <sheetFormatPr defaultColWidth="9.1796875" defaultRowHeight="12.5"/>
  <cols>
    <col min="1" max="1" width="9.453125" style="67" customWidth="1"/>
    <col min="2" max="2" width="3.81640625" style="67" customWidth="1"/>
    <col min="3" max="11" width="9.54296875" style="67" customWidth="1"/>
    <col min="12" max="13" width="9.1796875" style="67"/>
    <col min="14" max="14" width="11.1796875" style="67" customWidth="1"/>
    <col min="15" max="16384" width="9.1796875" style="67"/>
  </cols>
  <sheetData>
    <row r="1" spans="1:16" s="91" customFormat="1" ht="18">
      <c r="A1" s="471" t="s">
        <v>290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</row>
    <row r="2" spans="1:16" s="91" customFormat="1" ht="3" customHeight="1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6" ht="3" customHeight="1">
      <c r="A3" s="491"/>
      <c r="B3" s="491"/>
      <c r="C3" s="491"/>
      <c r="D3" s="275"/>
      <c r="E3" s="275"/>
      <c r="F3" s="276"/>
      <c r="G3" s="277"/>
      <c r="H3" s="277"/>
      <c r="I3" s="277"/>
    </row>
    <row r="4" spans="1:16" ht="13" customHeight="1">
      <c r="A4" s="463" t="s">
        <v>40</v>
      </c>
      <c r="B4" s="463"/>
      <c r="C4" s="463"/>
      <c r="D4" s="457">
        <f>'3.1'!A4</f>
        <v>2025</v>
      </c>
      <c r="E4" s="328"/>
      <c r="F4" s="317"/>
      <c r="G4" s="317"/>
      <c r="H4" s="317"/>
      <c r="I4" s="457">
        <f>D4-1</f>
        <v>2024</v>
      </c>
      <c r="J4" s="458"/>
      <c r="K4" s="458"/>
    </row>
    <row r="5" spans="1:16" ht="25" customHeight="1">
      <c r="A5" s="133"/>
      <c r="B5" s="133"/>
      <c r="C5" s="133"/>
      <c r="D5" s="459"/>
      <c r="E5" s="329"/>
      <c r="F5" s="330"/>
      <c r="G5" s="330"/>
      <c r="H5" s="331"/>
      <c r="I5" s="459"/>
      <c r="J5" s="460"/>
      <c r="K5" s="460"/>
    </row>
    <row r="6" spans="1:16" ht="25" customHeight="1">
      <c r="A6" s="279"/>
      <c r="B6" s="253"/>
      <c r="C6" s="280"/>
      <c r="D6" s="338" t="s">
        <v>156</v>
      </c>
      <c r="E6" s="455" t="s">
        <v>59</v>
      </c>
      <c r="F6" s="455"/>
      <c r="G6" s="456" t="s">
        <v>32</v>
      </c>
      <c r="H6" s="456" t="s">
        <v>256</v>
      </c>
      <c r="I6" s="453" t="s">
        <v>59</v>
      </c>
      <c r="J6" s="454"/>
      <c r="K6" s="456" t="s">
        <v>32</v>
      </c>
    </row>
    <row r="7" spans="1:16" ht="25" customHeight="1">
      <c r="A7" s="279"/>
      <c r="B7" s="281"/>
      <c r="D7" s="339"/>
      <c r="E7" s="455"/>
      <c r="F7" s="455"/>
      <c r="G7" s="456"/>
      <c r="H7" s="456"/>
      <c r="I7" s="453"/>
      <c r="J7" s="454"/>
      <c r="K7" s="456"/>
    </row>
    <row r="8" spans="1:16" ht="15" customHeight="1">
      <c r="A8" s="464" t="s">
        <v>155</v>
      </c>
      <c r="B8" s="464"/>
      <c r="C8" s="298" t="s">
        <v>180</v>
      </c>
      <c r="D8" s="318"/>
      <c r="E8" s="201" t="s">
        <v>247</v>
      </c>
      <c r="F8" s="201" t="s">
        <v>248</v>
      </c>
      <c r="G8" s="442"/>
      <c r="H8" s="442"/>
      <c r="I8" s="203" t="s">
        <v>247</v>
      </c>
      <c r="J8" s="201" t="s">
        <v>248</v>
      </c>
      <c r="K8" s="442"/>
    </row>
    <row r="9" spans="1:16" ht="11.15" customHeight="1">
      <c r="A9" s="397" t="str">
        <f>'3.1'!D5</f>
        <v>Říjen</v>
      </c>
      <c r="B9" s="397"/>
      <c r="C9" s="147" t="s">
        <v>4</v>
      </c>
      <c r="D9" s="287">
        <v>121</v>
      </c>
      <c r="E9" s="283">
        <v>19650.411</v>
      </c>
      <c r="F9" s="283">
        <v>217115.04376</v>
      </c>
      <c r="G9" s="284">
        <f>E9/$E$14</f>
        <v>0.49471711081179737</v>
      </c>
      <c r="H9" s="284">
        <f>(E9-I9)/I9</f>
        <v>0.31624992765800564</v>
      </c>
      <c r="I9" s="287">
        <v>14929.088</v>
      </c>
      <c r="J9" s="283">
        <v>163480.57193999999</v>
      </c>
      <c r="K9" s="284">
        <f>I9/$I$14</f>
        <v>0.47198505868953705</v>
      </c>
    </row>
    <row r="10" spans="1:16" ht="11.15" customHeight="1">
      <c r="A10" s="398"/>
      <c r="B10" s="398"/>
      <c r="C10" s="137" t="s">
        <v>5</v>
      </c>
      <c r="D10" s="288">
        <v>323</v>
      </c>
      <c r="E10" s="113">
        <v>3311.6640000000002</v>
      </c>
      <c r="F10" s="113">
        <v>36590.110460000004</v>
      </c>
      <c r="G10" s="282">
        <f>E10/$E$14</f>
        <v>8.3374177062222263E-2</v>
      </c>
      <c r="H10" s="282">
        <f>(E10-I10)/I10</f>
        <v>0.16905832540820584</v>
      </c>
      <c r="I10" s="288">
        <v>2832.7620000000002</v>
      </c>
      <c r="J10" s="113">
        <v>31020.199240000002</v>
      </c>
      <c r="K10" s="282">
        <f>I10/$I$14</f>
        <v>8.9558139038599716E-2</v>
      </c>
      <c r="L10" s="68"/>
      <c r="N10" s="68"/>
      <c r="O10" s="68"/>
      <c r="P10" s="68"/>
    </row>
    <row r="11" spans="1:16" ht="11.15" customHeight="1">
      <c r="A11" s="398"/>
      <c r="B11" s="398"/>
      <c r="C11" s="137" t="s">
        <v>6</v>
      </c>
      <c r="D11" s="288">
        <v>12890</v>
      </c>
      <c r="E11" s="113">
        <v>5712.2</v>
      </c>
      <c r="F11" s="113">
        <v>63113</v>
      </c>
      <c r="G11" s="282">
        <f>E11/$E$14</f>
        <v>0.14380987147694513</v>
      </c>
      <c r="H11" s="282">
        <f t="shared" ref="H11:H13" si="0">(E11-I11)/I11</f>
        <v>0.17971303328669311</v>
      </c>
      <c r="I11" s="288">
        <v>4842.0249999999996</v>
      </c>
      <c r="J11" s="113">
        <v>53022.313000000002</v>
      </c>
      <c r="K11" s="282">
        <f>I11/$I$14</f>
        <v>0.1530812500938574</v>
      </c>
      <c r="L11" s="68"/>
      <c r="N11" s="68"/>
      <c r="O11" s="68"/>
      <c r="P11" s="68"/>
    </row>
    <row r="12" spans="1:16" ht="11.15" customHeight="1">
      <c r="A12" s="398"/>
      <c r="B12" s="398"/>
      <c r="C12" s="137" t="s">
        <v>7</v>
      </c>
      <c r="D12" s="288">
        <v>166214</v>
      </c>
      <c r="E12" s="113">
        <v>10601.2</v>
      </c>
      <c r="F12" s="113">
        <v>117131.2</v>
      </c>
      <c r="G12" s="282">
        <f>E12/$E$14</f>
        <v>0.26689492831157713</v>
      </c>
      <c r="H12" s="282">
        <f t="shared" si="0"/>
        <v>0.23291271733441887</v>
      </c>
      <c r="I12" s="288">
        <v>8598.5</v>
      </c>
      <c r="J12" s="113">
        <v>94158.3</v>
      </c>
      <c r="K12" s="282">
        <f>I12/$I$14</f>
        <v>0.27184269575890935</v>
      </c>
      <c r="L12" s="68"/>
      <c r="N12" s="68"/>
      <c r="O12" s="68"/>
      <c r="P12" s="68"/>
    </row>
    <row r="13" spans="1:16" ht="11.15" customHeight="1">
      <c r="A13" s="398"/>
      <c r="B13" s="398"/>
      <c r="C13" s="137" t="s">
        <v>90</v>
      </c>
      <c r="D13" s="288">
        <v>15</v>
      </c>
      <c r="E13" s="113">
        <v>445.02499999999998</v>
      </c>
      <c r="F13" s="113">
        <v>4917.0241999999998</v>
      </c>
      <c r="G13" s="282">
        <f>E13/$E$14</f>
        <v>1.1203912337457985E-2</v>
      </c>
      <c r="H13" s="282">
        <f t="shared" si="0"/>
        <v>3.9656582174979478E-2</v>
      </c>
      <c r="I13" s="288">
        <v>428.05</v>
      </c>
      <c r="J13" s="113">
        <v>4687.3589400000001</v>
      </c>
      <c r="K13" s="282">
        <f>I13/$I$14</f>
        <v>1.3532856419096488E-2</v>
      </c>
      <c r="L13" s="68"/>
      <c r="N13" s="68"/>
      <c r="O13" s="68"/>
      <c r="P13" s="68"/>
    </row>
    <row r="14" spans="1:16" ht="11.15" customHeight="1">
      <c r="A14" s="399"/>
      <c r="B14" s="399"/>
      <c r="C14" s="293" t="s">
        <v>0</v>
      </c>
      <c r="D14" s="296">
        <v>179563</v>
      </c>
      <c r="E14" s="294">
        <v>39720.500000000007</v>
      </c>
      <c r="F14" s="294">
        <v>438866.37842000002</v>
      </c>
      <c r="G14" s="295">
        <f>SUM(G9:G13)</f>
        <v>0.99999999999999989</v>
      </c>
      <c r="H14" s="295">
        <f>(E14-I14)/I14</f>
        <v>0.25576877326182018</v>
      </c>
      <c r="I14" s="296">
        <v>31630.424999999999</v>
      </c>
      <c r="J14" s="294">
        <v>346368.74312</v>
      </c>
      <c r="K14" s="295">
        <f>SUM(K9:K13)</f>
        <v>1</v>
      </c>
      <c r="L14" s="68"/>
    </row>
    <row r="15" spans="1:16" ht="11.15" customHeight="1">
      <c r="A15" s="397" t="str">
        <f>'3.1'!E5</f>
        <v>Listopad</v>
      </c>
      <c r="B15" s="397"/>
      <c r="C15" s="147" t="s">
        <v>4</v>
      </c>
      <c r="D15" s="287">
        <v>121</v>
      </c>
      <c r="E15" s="283">
        <v>23515.395</v>
      </c>
      <c r="F15" s="283">
        <v>258867.91449</v>
      </c>
      <c r="G15" s="284">
        <f>E15/$E$20</f>
        <v>0.43550092413910613</v>
      </c>
      <c r="H15" s="284">
        <f>(E15-I15)/I15</f>
        <v>0.17220443161103358</v>
      </c>
      <c r="I15" s="287">
        <v>20060.830999999998</v>
      </c>
      <c r="J15" s="283">
        <v>218964.42822</v>
      </c>
      <c r="K15" s="284">
        <f>I15/$I$20</f>
        <v>0.39536053968616847</v>
      </c>
      <c r="L15" s="68"/>
      <c r="M15" s="68"/>
    </row>
    <row r="16" spans="1:16" ht="11.15" customHeight="1">
      <c r="A16" s="398"/>
      <c r="B16" s="398"/>
      <c r="C16" s="137" t="s">
        <v>5</v>
      </c>
      <c r="D16" s="288">
        <v>323</v>
      </c>
      <c r="E16" s="113">
        <v>4655.8159999999998</v>
      </c>
      <c r="F16" s="113">
        <v>51252.916010000001</v>
      </c>
      <c r="G16" s="282">
        <f>E16/$E$20</f>
        <v>8.6224882491730895E-2</v>
      </c>
      <c r="H16" s="282">
        <f>(E16-I16)/I16</f>
        <v>1.5929070684923854E-2</v>
      </c>
      <c r="I16" s="288">
        <v>4582.8159999999998</v>
      </c>
      <c r="J16" s="113">
        <v>50021.700349999999</v>
      </c>
      <c r="K16" s="282">
        <f>I16/$I$20</f>
        <v>9.0318522051375028E-2</v>
      </c>
      <c r="L16" s="86"/>
      <c r="M16" s="68"/>
    </row>
    <row r="17" spans="1:20" ht="11.15" customHeight="1">
      <c r="A17" s="398"/>
      <c r="B17" s="398"/>
      <c r="C17" s="137" t="s">
        <v>6</v>
      </c>
      <c r="D17" s="288">
        <v>12895</v>
      </c>
      <c r="E17" s="113">
        <v>8833.7000000000007</v>
      </c>
      <c r="F17" s="113">
        <v>97244.800000000003</v>
      </c>
      <c r="G17" s="282">
        <f>E17/$E$20</f>
        <v>0.16359854952755937</v>
      </c>
      <c r="H17" s="282">
        <f t="shared" ref="H17:H20" si="1">(E17-I17)/I17</f>
        <v>-1.879394417354396E-2</v>
      </c>
      <c r="I17" s="288">
        <v>9002.9</v>
      </c>
      <c r="J17" s="113">
        <v>98267.3</v>
      </c>
      <c r="K17" s="282">
        <f>I17/$I$20</f>
        <v>0.17742990819974536</v>
      </c>
      <c r="L17" s="68"/>
      <c r="M17" s="68"/>
      <c r="N17" s="68"/>
      <c r="O17" s="68"/>
    </row>
    <row r="18" spans="1:20" ht="11.15" customHeight="1">
      <c r="A18" s="398"/>
      <c r="B18" s="398"/>
      <c r="C18" s="137" t="s">
        <v>7</v>
      </c>
      <c r="D18" s="288">
        <v>166129</v>
      </c>
      <c r="E18" s="113">
        <v>16553.8</v>
      </c>
      <c r="F18" s="113">
        <v>182231.6</v>
      </c>
      <c r="G18" s="282">
        <f>E18/$E$20</f>
        <v>0.30657342553735262</v>
      </c>
      <c r="H18" s="282">
        <f t="shared" si="1"/>
        <v>-7.1254633350526786E-3</v>
      </c>
      <c r="I18" s="288">
        <v>16672.599999999999</v>
      </c>
      <c r="J18" s="113">
        <v>181982.4</v>
      </c>
      <c r="K18" s="282">
        <f>I18/$I$20</f>
        <v>0.32858499899488769</v>
      </c>
      <c r="L18" s="68"/>
      <c r="M18" s="68"/>
      <c r="N18" s="68"/>
      <c r="O18" s="68"/>
    </row>
    <row r="19" spans="1:20" ht="11.15" customHeight="1">
      <c r="A19" s="398"/>
      <c r="B19" s="398"/>
      <c r="C19" s="137" t="s">
        <v>90</v>
      </c>
      <c r="D19" s="288">
        <v>15</v>
      </c>
      <c r="E19" s="113">
        <v>437.48899999999998</v>
      </c>
      <c r="F19" s="113">
        <v>4816.0667299999996</v>
      </c>
      <c r="G19" s="282">
        <f>E19/$E$20</f>
        <v>8.1022183042510406E-3</v>
      </c>
      <c r="H19" s="282">
        <f t="shared" si="1"/>
        <v>3.8049319852984799E-2</v>
      </c>
      <c r="I19" s="288">
        <v>421.45299999999997</v>
      </c>
      <c r="J19" s="113">
        <v>4600.1752200000001</v>
      </c>
      <c r="K19" s="282">
        <f>I19/$I$20</f>
        <v>8.3060310678233999E-3</v>
      </c>
      <c r="L19" s="68"/>
      <c r="M19" s="68"/>
      <c r="N19" s="68"/>
      <c r="O19" s="68"/>
    </row>
    <row r="20" spans="1:20" ht="11.15" customHeight="1">
      <c r="A20" s="399"/>
      <c r="B20" s="399"/>
      <c r="C20" s="293" t="s">
        <v>0</v>
      </c>
      <c r="D20" s="296">
        <v>179483</v>
      </c>
      <c r="E20" s="294">
        <v>53996.2</v>
      </c>
      <c r="F20" s="294">
        <v>594413.29722999991</v>
      </c>
      <c r="G20" s="295">
        <f>SUM(G15:G19)</f>
        <v>1</v>
      </c>
      <c r="H20" s="295">
        <f t="shared" si="1"/>
        <v>6.4161637820601233E-2</v>
      </c>
      <c r="I20" s="296">
        <v>50740.6</v>
      </c>
      <c r="J20" s="294">
        <v>553836.00378999999</v>
      </c>
      <c r="K20" s="295">
        <f>SUM(K15:K19)</f>
        <v>0.99999999999999989</v>
      </c>
      <c r="L20" s="68"/>
      <c r="M20" s="68"/>
      <c r="N20" s="68"/>
      <c r="O20" s="68"/>
    </row>
    <row r="21" spans="1:20" ht="11.15" customHeight="1">
      <c r="A21" s="397" t="str">
        <f>'3.1'!F5</f>
        <v>Prosinec</v>
      </c>
      <c r="B21" s="397"/>
      <c r="C21" s="147" t="s">
        <v>4</v>
      </c>
      <c r="D21" s="287">
        <v>121</v>
      </c>
      <c r="E21" s="283">
        <v>23842.541000000001</v>
      </c>
      <c r="F21" s="283">
        <v>261725.05718999999</v>
      </c>
      <c r="G21" s="284">
        <f>E21/$E$26</f>
        <v>0.39560863144620695</v>
      </c>
      <c r="H21" s="284">
        <f>(E21-I21)/I21</f>
        <v>0.11199455404606047</v>
      </c>
      <c r="I21" s="287">
        <v>21441.239000000001</v>
      </c>
      <c r="J21" s="283">
        <v>233420.70027</v>
      </c>
      <c r="K21" s="284">
        <f>I21/$I$26</f>
        <v>0.36403586157249657</v>
      </c>
      <c r="L21" s="78"/>
      <c r="M21" s="78"/>
      <c r="N21" s="78"/>
      <c r="O21" s="78"/>
      <c r="P21" s="78"/>
      <c r="Q21" s="78"/>
      <c r="R21" s="78"/>
      <c r="S21" s="78"/>
      <c r="T21" s="78"/>
    </row>
    <row r="22" spans="1:20" ht="11.15" customHeight="1">
      <c r="A22" s="398"/>
      <c r="B22" s="398"/>
      <c r="C22" s="137" t="s">
        <v>5</v>
      </c>
      <c r="D22" s="288">
        <v>323</v>
      </c>
      <c r="E22" s="113">
        <v>4988.6099999999997</v>
      </c>
      <c r="F22" s="113">
        <v>54761.02377</v>
      </c>
      <c r="G22" s="282">
        <f>E22/$E$26</f>
        <v>8.2773777128824583E-2</v>
      </c>
      <c r="H22" s="282">
        <f t="shared" ref="H22:H26" si="2">(E22-I22)/I22</f>
        <v>-3.067288685616754E-2</v>
      </c>
      <c r="I22" s="288">
        <v>5146.4669999999996</v>
      </c>
      <c r="J22" s="113">
        <v>56026.659370000001</v>
      </c>
      <c r="K22" s="282">
        <f>I22/$I$26</f>
        <v>8.7378278298162776E-2</v>
      </c>
      <c r="L22" s="78"/>
      <c r="M22" s="78"/>
      <c r="N22" s="78"/>
      <c r="O22" s="78"/>
      <c r="P22" s="78"/>
      <c r="Q22" s="78"/>
      <c r="R22" s="78"/>
      <c r="S22" s="78"/>
      <c r="T22" s="78"/>
    </row>
    <row r="23" spans="1:20" ht="11.15" customHeight="1">
      <c r="A23" s="398"/>
      <c r="B23" s="398"/>
      <c r="C23" s="137" t="s">
        <v>6</v>
      </c>
      <c r="D23" s="288">
        <v>12902</v>
      </c>
      <c r="E23" s="113">
        <v>10651.4</v>
      </c>
      <c r="F23" s="113">
        <v>116922.5</v>
      </c>
      <c r="G23" s="282">
        <f>E23/$E$26</f>
        <v>0.17673392181588901</v>
      </c>
      <c r="H23" s="282">
        <f t="shared" si="2"/>
        <v>-2.4320090868286785E-2</v>
      </c>
      <c r="I23" s="288">
        <v>10916.9</v>
      </c>
      <c r="J23" s="113">
        <v>118847.2</v>
      </c>
      <c r="K23" s="282">
        <f>I23/$I$26</f>
        <v>0.18535044067186543</v>
      </c>
      <c r="L23" s="78"/>
      <c r="M23" s="78"/>
      <c r="N23" s="78"/>
      <c r="O23" s="78"/>
      <c r="P23" s="78"/>
      <c r="Q23" s="78"/>
      <c r="R23" s="78"/>
      <c r="S23" s="78"/>
      <c r="T23" s="78"/>
    </row>
    <row r="24" spans="1:20" ht="11.15" customHeight="1">
      <c r="A24" s="398"/>
      <c r="B24" s="398"/>
      <c r="C24" s="137" t="s">
        <v>7</v>
      </c>
      <c r="D24" s="288">
        <v>166062</v>
      </c>
      <c r="E24" s="113">
        <v>20360.099999999999</v>
      </c>
      <c r="F24" s="113">
        <v>223497.8</v>
      </c>
      <c r="G24" s="282">
        <f>E24/$E$26</f>
        <v>0.33782604367160018</v>
      </c>
      <c r="H24" s="282">
        <f t="shared" si="2"/>
        <v>-3.0586834900607141E-2</v>
      </c>
      <c r="I24" s="288">
        <v>21002.5</v>
      </c>
      <c r="J24" s="113">
        <v>228644.1</v>
      </c>
      <c r="K24" s="282">
        <f>I24/$I$26</f>
        <v>0.35658681770565398</v>
      </c>
      <c r="L24" s="78"/>
      <c r="M24" s="78"/>
      <c r="N24" s="78"/>
      <c r="O24" s="78"/>
      <c r="P24" s="78"/>
      <c r="Q24" s="78"/>
      <c r="R24" s="78"/>
      <c r="S24" s="78"/>
      <c r="T24" s="78"/>
    </row>
    <row r="25" spans="1:20" ht="11.15" customHeight="1">
      <c r="A25" s="398"/>
      <c r="B25" s="398"/>
      <c r="C25" s="137" t="s">
        <v>90</v>
      </c>
      <c r="D25" s="288">
        <v>15</v>
      </c>
      <c r="E25" s="113">
        <v>425.34899999999999</v>
      </c>
      <c r="F25" s="113">
        <v>4669.1457899999996</v>
      </c>
      <c r="G25" s="282">
        <f>E25/$E$26</f>
        <v>7.0576259374792588E-3</v>
      </c>
      <c r="H25" s="282">
        <f t="shared" si="2"/>
        <v>8.6198971383626907E-2</v>
      </c>
      <c r="I25" s="288">
        <v>391.59399999999999</v>
      </c>
      <c r="J25" s="113">
        <v>4263.0972899999997</v>
      </c>
      <c r="K25" s="282">
        <f>I25/$I$26</f>
        <v>6.6486017518213479E-3</v>
      </c>
      <c r="L25" s="78"/>
      <c r="M25" s="78"/>
      <c r="N25" s="78"/>
      <c r="O25" s="78"/>
      <c r="P25" s="78"/>
      <c r="Q25" s="78"/>
      <c r="R25" s="78"/>
      <c r="S25" s="78"/>
      <c r="T25" s="78"/>
    </row>
    <row r="26" spans="1:20" ht="11.15" customHeight="1">
      <c r="A26" s="399"/>
      <c r="B26" s="399"/>
      <c r="C26" s="293" t="s">
        <v>0</v>
      </c>
      <c r="D26" s="296">
        <v>179423</v>
      </c>
      <c r="E26" s="294">
        <v>60268</v>
      </c>
      <c r="F26" s="294">
        <v>661575.52674999996</v>
      </c>
      <c r="G26" s="295">
        <f>SUM(G21:G25)</f>
        <v>1</v>
      </c>
      <c r="H26" s="295">
        <f t="shared" si="2"/>
        <v>2.3248390881292845E-2</v>
      </c>
      <c r="I26" s="296">
        <v>58898.7</v>
      </c>
      <c r="J26" s="294">
        <v>641201.75692999992</v>
      </c>
      <c r="K26" s="295">
        <f>SUM(K21:K25)</f>
        <v>1</v>
      </c>
    </row>
    <row r="27" spans="1:20" ht="11.15" customHeight="1">
      <c r="A27" s="467" t="str">
        <f>'3.1'!G5</f>
        <v>IV. čtvrtletí</v>
      </c>
      <c r="B27" s="397"/>
      <c r="C27" s="147" t="s">
        <v>4</v>
      </c>
      <c r="D27" s="287">
        <f>D21</f>
        <v>121</v>
      </c>
      <c r="E27" s="283">
        <f>E9+E15+E21</f>
        <v>67008.346999999994</v>
      </c>
      <c r="F27" s="283">
        <f>F9+F15+F21</f>
        <v>737708.01543999999</v>
      </c>
      <c r="G27" s="284">
        <f>E27/$E$32</f>
        <v>0.4351623700276715</v>
      </c>
      <c r="H27" s="284">
        <f>(E27-I27)/I27</f>
        <v>0.18743526404331451</v>
      </c>
      <c r="I27" s="287">
        <f>I9+I15+I21</f>
        <v>56431.157999999996</v>
      </c>
      <c r="J27" s="283">
        <f>J9+J15+J21</f>
        <v>615865.70042999997</v>
      </c>
      <c r="K27" s="284">
        <f>I27/$I$32</f>
        <v>0.39945684045183777</v>
      </c>
    </row>
    <row r="28" spans="1:20" ht="11.15" customHeight="1">
      <c r="A28" s="398"/>
      <c r="B28" s="398"/>
      <c r="C28" s="137" t="s">
        <v>5</v>
      </c>
      <c r="D28" s="288">
        <f>D22</f>
        <v>323</v>
      </c>
      <c r="E28" s="113">
        <f t="shared" ref="E28:F31" si="3">E10+E16+E22</f>
        <v>12956.09</v>
      </c>
      <c r="F28" s="113">
        <f t="shared" si="3"/>
        <v>142604.05024000001</v>
      </c>
      <c r="G28" s="282">
        <f>E28/$E$32</f>
        <v>8.4138813791240288E-2</v>
      </c>
      <c r="H28" s="282">
        <f t="shared" ref="H28:H31" si="4">(E28-I28)/I28</f>
        <v>3.1367902280241944E-2</v>
      </c>
      <c r="I28" s="288">
        <f t="shared" ref="I28:J28" si="5">I10+I16+I22</f>
        <v>12562.044999999998</v>
      </c>
      <c r="J28" s="113">
        <f t="shared" si="5"/>
        <v>137068.55895999999</v>
      </c>
      <c r="K28" s="282">
        <f>I28/$I$32</f>
        <v>8.8922414197380215E-2</v>
      </c>
    </row>
    <row r="29" spans="1:20" ht="11.15" customHeight="1">
      <c r="A29" s="398"/>
      <c r="B29" s="398"/>
      <c r="C29" s="137" t="s">
        <v>6</v>
      </c>
      <c r="D29" s="288">
        <f>D23</f>
        <v>12902</v>
      </c>
      <c r="E29" s="113">
        <f t="shared" si="3"/>
        <v>25197.300000000003</v>
      </c>
      <c r="F29" s="113">
        <f t="shared" si="3"/>
        <v>277280.3</v>
      </c>
      <c r="G29" s="282">
        <f>E29/$E$32</f>
        <v>0.16363508842112237</v>
      </c>
      <c r="H29" s="282">
        <f t="shared" si="4"/>
        <v>1.758654703358924E-2</v>
      </c>
      <c r="I29" s="288">
        <f t="shared" ref="I29:J29" si="6">I11+I17+I23</f>
        <v>24761.824999999997</v>
      </c>
      <c r="J29" s="113">
        <f t="shared" si="6"/>
        <v>270136.81300000002</v>
      </c>
      <c r="K29" s="282">
        <f>I29/$I$32</f>
        <v>0.17528047853140505</v>
      </c>
    </row>
    <row r="30" spans="1:20" ht="11.15" customHeight="1">
      <c r="A30" s="398"/>
      <c r="B30" s="398"/>
      <c r="C30" s="137" t="s">
        <v>7</v>
      </c>
      <c r="D30" s="288">
        <f>D24</f>
        <v>166062</v>
      </c>
      <c r="E30" s="113">
        <f t="shared" si="3"/>
        <v>47515.1</v>
      </c>
      <c r="F30" s="113">
        <f t="shared" si="3"/>
        <v>522860.6</v>
      </c>
      <c r="G30" s="282">
        <f>E30/$E$32</f>
        <v>0.3085702670460117</v>
      </c>
      <c r="H30" s="282">
        <f t="shared" si="4"/>
        <v>2.6829552920023512E-2</v>
      </c>
      <c r="I30" s="288">
        <f t="shared" ref="I30:J30" si="7">I12+I18+I24</f>
        <v>46273.599999999999</v>
      </c>
      <c r="J30" s="113">
        <f t="shared" si="7"/>
        <v>504784.80000000005</v>
      </c>
      <c r="K30" s="282">
        <f>I30/$I$32</f>
        <v>0.32755496621799185</v>
      </c>
    </row>
    <row r="31" spans="1:20" ht="11.15" customHeight="1">
      <c r="A31" s="398"/>
      <c r="B31" s="398"/>
      <c r="C31" s="137" t="s">
        <v>90</v>
      </c>
      <c r="D31" s="288">
        <f>D25</f>
        <v>15</v>
      </c>
      <c r="E31" s="113">
        <f>E13+E19+E25</f>
        <v>1307.8629999999998</v>
      </c>
      <c r="F31" s="113">
        <f t="shared" si="3"/>
        <v>14402.236719999997</v>
      </c>
      <c r="G31" s="282">
        <f>E31/$E$32</f>
        <v>8.4934607139540465E-3</v>
      </c>
      <c r="H31" s="282">
        <f t="shared" si="4"/>
        <v>5.3795956319288379E-2</v>
      </c>
      <c r="I31" s="288">
        <f>I13+I19+I25</f>
        <v>1241.097</v>
      </c>
      <c r="J31" s="113">
        <f t="shared" ref="J31" si="8">J13+J19+J25</f>
        <v>13550.631449999999</v>
      </c>
      <c r="K31" s="282">
        <f>I31/$I$32</f>
        <v>8.7853006013850453E-3</v>
      </c>
    </row>
    <row r="32" spans="1:20" ht="11.15" customHeight="1">
      <c r="A32" s="399"/>
      <c r="B32" s="399"/>
      <c r="C32" s="293" t="s">
        <v>0</v>
      </c>
      <c r="D32" s="296">
        <f>SUM(D27:D31)</f>
        <v>179423</v>
      </c>
      <c r="E32" s="294">
        <f>SUM(E27:E31)</f>
        <v>153984.70000000001</v>
      </c>
      <c r="F32" s="294">
        <f>SUM(F27:F31)</f>
        <v>1694855.2023999998</v>
      </c>
      <c r="G32" s="295">
        <f>SUM(G27:G31)</f>
        <v>0.99999999999999989</v>
      </c>
      <c r="H32" s="295">
        <f>(E32-I32)/I32</f>
        <v>9.0004953290593617E-2</v>
      </c>
      <c r="I32" s="296">
        <f>SUM(I27:I31)</f>
        <v>141269.72500000001</v>
      </c>
      <c r="J32" s="294">
        <f>SUM(J27:J31)</f>
        <v>1541406.5038400001</v>
      </c>
      <c r="K32" s="295">
        <f>SUM(K27:K31)</f>
        <v>1</v>
      </c>
    </row>
    <row r="33" spans="1:11" ht="10" customHeight="1">
      <c r="A33" s="332"/>
      <c r="B33" s="333"/>
      <c r="C33" s="334"/>
      <c r="D33" s="335"/>
      <c r="E33" s="335"/>
      <c r="F33" s="335"/>
      <c r="G33" s="336"/>
      <c r="H33" s="337"/>
      <c r="I33" s="335"/>
      <c r="J33" s="335"/>
      <c r="K33" s="336"/>
    </row>
    <row r="34" spans="1:11" ht="13" customHeight="1">
      <c r="A34" s="492" t="s">
        <v>41</v>
      </c>
      <c r="B34" s="492"/>
      <c r="C34" s="492"/>
      <c r="D34" s="457">
        <f>D4</f>
        <v>2025</v>
      </c>
      <c r="E34" s="328"/>
      <c r="F34" s="317"/>
      <c r="G34" s="317"/>
      <c r="H34" s="317"/>
      <c r="I34" s="457">
        <f>D34-1</f>
        <v>2024</v>
      </c>
      <c r="J34" s="458"/>
      <c r="K34" s="458"/>
    </row>
    <row r="35" spans="1:11" ht="25" customHeight="1">
      <c r="A35" s="279"/>
      <c r="B35" s="253"/>
      <c r="C35" s="133"/>
      <c r="D35" s="459"/>
      <c r="E35" s="329"/>
      <c r="F35" s="330"/>
      <c r="G35" s="330"/>
      <c r="H35" s="331"/>
      <c r="I35" s="459"/>
      <c r="J35" s="460"/>
      <c r="K35" s="460"/>
    </row>
    <row r="36" spans="1:11" ht="25" customHeight="1">
      <c r="A36" s="114"/>
      <c r="B36" s="115"/>
      <c r="C36" s="327"/>
      <c r="D36" s="338" t="s">
        <v>156</v>
      </c>
      <c r="E36" s="455" t="s">
        <v>59</v>
      </c>
      <c r="F36" s="455"/>
      <c r="G36" s="456" t="s">
        <v>32</v>
      </c>
      <c r="H36" s="456" t="s">
        <v>256</v>
      </c>
      <c r="I36" s="453" t="s">
        <v>59</v>
      </c>
      <c r="J36" s="454"/>
      <c r="K36" s="456" t="s">
        <v>32</v>
      </c>
    </row>
    <row r="37" spans="1:11" ht="25" customHeight="1">
      <c r="A37" s="114"/>
      <c r="B37" s="281"/>
      <c r="C37" s="281"/>
      <c r="D37" s="339"/>
      <c r="E37" s="455"/>
      <c r="F37" s="455"/>
      <c r="G37" s="456"/>
      <c r="H37" s="456"/>
      <c r="I37" s="453"/>
      <c r="J37" s="454"/>
      <c r="K37" s="456"/>
    </row>
    <row r="38" spans="1:11" ht="15" customHeight="1">
      <c r="A38" s="493" t="s">
        <v>155</v>
      </c>
      <c r="B38" s="493"/>
      <c r="C38" s="340" t="s">
        <v>180</v>
      </c>
      <c r="D38" s="318"/>
      <c r="E38" s="201" t="s">
        <v>247</v>
      </c>
      <c r="F38" s="201" t="s">
        <v>248</v>
      </c>
      <c r="G38" s="442"/>
      <c r="H38" s="442"/>
      <c r="I38" s="203" t="s">
        <v>247</v>
      </c>
      <c r="J38" s="201" t="s">
        <v>248</v>
      </c>
      <c r="K38" s="442"/>
    </row>
    <row r="39" spans="1:11" ht="11.15" customHeight="1">
      <c r="A39" s="397" t="str">
        <f>'3.1'!D5</f>
        <v>Říjen</v>
      </c>
      <c r="B39" s="397"/>
      <c r="C39" s="147" t="s">
        <v>4</v>
      </c>
      <c r="D39" s="287">
        <v>83</v>
      </c>
      <c r="E39" s="283">
        <v>11104.967000000001</v>
      </c>
      <c r="F39" s="283">
        <v>122699.878108</v>
      </c>
      <c r="G39" s="284">
        <f>E39/$E$44</f>
        <v>0.40150308305028276</v>
      </c>
      <c r="H39" s="284">
        <f>(E39-I39)/I39</f>
        <v>0.18760707745338639</v>
      </c>
      <c r="I39" s="287">
        <v>9350.7080000000005</v>
      </c>
      <c r="J39" s="283">
        <v>102395.00109999999</v>
      </c>
      <c r="K39" s="284">
        <f>I39/$I$44</f>
        <v>0.40398109425223799</v>
      </c>
    </row>
    <row r="40" spans="1:11" ht="11.15" customHeight="1">
      <c r="A40" s="398"/>
      <c r="B40" s="398"/>
      <c r="C40" s="137" t="s">
        <v>5</v>
      </c>
      <c r="D40" s="288">
        <v>246</v>
      </c>
      <c r="E40" s="113">
        <v>3206.8429999999998</v>
      </c>
      <c r="F40" s="113">
        <v>35432.323149999997</v>
      </c>
      <c r="G40" s="282">
        <f t="shared" ref="G40" si="9">E40/$E$44</f>
        <v>0.11594427532816783</v>
      </c>
      <c r="H40" s="282">
        <f>(E40-I40)/I40</f>
        <v>0.16917478542204276</v>
      </c>
      <c r="I40" s="288">
        <v>2742.826</v>
      </c>
      <c r="J40" s="113">
        <v>30035.760699999999</v>
      </c>
      <c r="K40" s="282">
        <f t="shared" ref="K40:K43" si="10">I40/$I$44</f>
        <v>0.1184990322469153</v>
      </c>
    </row>
    <row r="41" spans="1:11" ht="11.15" customHeight="1">
      <c r="A41" s="398"/>
      <c r="B41" s="398"/>
      <c r="C41" s="137" t="s">
        <v>6</v>
      </c>
      <c r="D41" s="288">
        <v>11050</v>
      </c>
      <c r="E41" s="113">
        <v>4678.1719999999996</v>
      </c>
      <c r="F41" s="113">
        <v>51688.987979999998</v>
      </c>
      <c r="G41" s="282">
        <f>E41/$E$44</f>
        <v>0.16914057295618323</v>
      </c>
      <c r="H41" s="282">
        <f t="shared" ref="H41:H43" si="11">(E41-I41)/I41</f>
        <v>0.1794890413411088</v>
      </c>
      <c r="I41" s="288">
        <v>3966.27</v>
      </c>
      <c r="J41" s="113">
        <v>43432.612609999996</v>
      </c>
      <c r="K41" s="282">
        <f t="shared" si="10"/>
        <v>0.17135580479037779</v>
      </c>
    </row>
    <row r="42" spans="1:11" ht="11.15" customHeight="1">
      <c r="A42" s="398"/>
      <c r="B42" s="398"/>
      <c r="C42" s="137" t="s">
        <v>7</v>
      </c>
      <c r="D42" s="288">
        <v>119900</v>
      </c>
      <c r="E42" s="113">
        <v>8451.2999999999993</v>
      </c>
      <c r="F42" s="113">
        <v>93377.1</v>
      </c>
      <c r="G42" s="282">
        <f>E42/$E$44</f>
        <v>0.30555903550031749</v>
      </c>
      <c r="H42" s="282">
        <f t="shared" si="11"/>
        <v>0.23290249168465879</v>
      </c>
      <c r="I42" s="288">
        <v>6854.8</v>
      </c>
      <c r="J42" s="113">
        <v>75063.100000000006</v>
      </c>
      <c r="K42" s="282">
        <f t="shared" si="10"/>
        <v>0.29614972522724919</v>
      </c>
    </row>
    <row r="43" spans="1:11" ht="11.15" customHeight="1">
      <c r="A43" s="398"/>
      <c r="B43" s="398"/>
      <c r="C43" s="137" t="s">
        <v>90</v>
      </c>
      <c r="D43" s="288">
        <v>15</v>
      </c>
      <c r="E43" s="113">
        <v>217.203</v>
      </c>
      <c r="F43" s="113">
        <v>2399.8471199999999</v>
      </c>
      <c r="G43" s="282">
        <f>E43/$E$44</f>
        <v>7.8530331650486281E-3</v>
      </c>
      <c r="H43" s="282">
        <f t="shared" si="11"/>
        <v>-6.2956220124592274E-2</v>
      </c>
      <c r="I43" s="288">
        <v>231.79599999999999</v>
      </c>
      <c r="J43" s="113">
        <v>2538.2847400000001</v>
      </c>
      <c r="K43" s="282">
        <f t="shared" si="10"/>
        <v>1.0014343483219853E-2</v>
      </c>
    </row>
    <row r="44" spans="1:11" ht="11.15" customHeight="1">
      <c r="A44" s="399"/>
      <c r="B44" s="399"/>
      <c r="C44" s="293" t="s">
        <v>0</v>
      </c>
      <c r="D44" s="296">
        <v>131294</v>
      </c>
      <c r="E44" s="294">
        <v>27658.485000000001</v>
      </c>
      <c r="F44" s="294">
        <v>305598.13635799999</v>
      </c>
      <c r="G44" s="295">
        <f>SUM(G39:G43)</f>
        <v>0.99999999999999989</v>
      </c>
      <c r="H44" s="295">
        <f>(E44-I44)/I44</f>
        <v>0.19493679362665484</v>
      </c>
      <c r="I44" s="296">
        <v>23146.399999999998</v>
      </c>
      <c r="J44" s="294">
        <v>253464.75915</v>
      </c>
      <c r="K44" s="295">
        <f>SUM(K39:K43)</f>
        <v>1.0000000000000002</v>
      </c>
    </row>
    <row r="45" spans="1:11" ht="11.15" customHeight="1">
      <c r="A45" s="397" t="str">
        <f>'3.1'!E5</f>
        <v>Listopad</v>
      </c>
      <c r="B45" s="397"/>
      <c r="C45" s="147" t="s">
        <v>4</v>
      </c>
      <c r="D45" s="287">
        <v>83</v>
      </c>
      <c r="E45" s="283">
        <v>10935.907999999999</v>
      </c>
      <c r="F45" s="283">
        <v>120386.692375</v>
      </c>
      <c r="G45" s="284">
        <f>E45/$E$50</f>
        <v>0.30687596516894816</v>
      </c>
      <c r="H45" s="284">
        <f>(E45-I45)/I45</f>
        <v>-3.0405673486718434E-2</v>
      </c>
      <c r="I45" s="287">
        <v>11278.849</v>
      </c>
      <c r="J45" s="283">
        <v>123109.27714999999</v>
      </c>
      <c r="K45" s="284">
        <f>I45/$I$50</f>
        <v>0.31229507697419429</v>
      </c>
    </row>
    <row r="46" spans="1:11" ht="11.15" customHeight="1">
      <c r="A46" s="398"/>
      <c r="B46" s="398"/>
      <c r="C46" s="137" t="s">
        <v>5</v>
      </c>
      <c r="D46" s="288">
        <v>246</v>
      </c>
      <c r="E46" s="113">
        <v>4063.7910000000002</v>
      </c>
      <c r="F46" s="113">
        <v>44736.153680000003</v>
      </c>
      <c r="G46" s="282">
        <f t="shared" ref="G46:G49" si="12">E46/$E$50</f>
        <v>0.11403532156359447</v>
      </c>
      <c r="H46" s="282">
        <f>(E46-I46)/I46</f>
        <v>2.9319120028733298E-2</v>
      </c>
      <c r="I46" s="288">
        <v>3948.038</v>
      </c>
      <c r="J46" s="113">
        <v>43093.141969999997</v>
      </c>
      <c r="K46" s="282">
        <f t="shared" ref="K46:K49" si="13">I46/$I$50</f>
        <v>0.10931548344224166</v>
      </c>
    </row>
    <row r="47" spans="1:11" ht="11.15" customHeight="1">
      <c r="A47" s="398"/>
      <c r="B47" s="398"/>
      <c r="C47" s="137" t="s">
        <v>6</v>
      </c>
      <c r="D47" s="288">
        <v>11055</v>
      </c>
      <c r="E47" s="113">
        <v>7236.5020000000004</v>
      </c>
      <c r="F47" s="113">
        <v>79662.409480000002</v>
      </c>
      <c r="G47" s="282">
        <f t="shared" si="12"/>
        <v>0.20306576607054705</v>
      </c>
      <c r="H47" s="282">
        <f t="shared" ref="H47:H49" si="14">(E47-I47)/I47</f>
        <v>-1.7872103408884642E-2</v>
      </c>
      <c r="I47" s="288">
        <v>7368.1869999999999</v>
      </c>
      <c r="J47" s="113">
        <v>80423.677299999996</v>
      </c>
      <c r="K47" s="282">
        <f t="shared" si="13"/>
        <v>0.20401448111640269</v>
      </c>
    </row>
    <row r="48" spans="1:11" ht="11.15" customHeight="1">
      <c r="A48" s="398"/>
      <c r="B48" s="398"/>
      <c r="C48" s="137" t="s">
        <v>7</v>
      </c>
      <c r="D48" s="288">
        <v>119838</v>
      </c>
      <c r="E48" s="113">
        <v>13196.7</v>
      </c>
      <c r="F48" s="113">
        <v>145275.20000000001</v>
      </c>
      <c r="G48" s="282">
        <f t="shared" si="12"/>
        <v>0.37031676286459791</v>
      </c>
      <c r="H48" s="282">
        <f t="shared" si="14"/>
        <v>-7.1249078351414384E-3</v>
      </c>
      <c r="I48" s="288">
        <v>13291.4</v>
      </c>
      <c r="J48" s="113">
        <v>145076.6</v>
      </c>
      <c r="K48" s="282">
        <f t="shared" si="13"/>
        <v>0.36801971425407021</v>
      </c>
    </row>
    <row r="49" spans="1:11" ht="11.15" customHeight="1">
      <c r="A49" s="398"/>
      <c r="B49" s="398"/>
      <c r="C49" s="137" t="s">
        <v>90</v>
      </c>
      <c r="D49" s="288">
        <v>15</v>
      </c>
      <c r="E49" s="113">
        <v>203.34700000000001</v>
      </c>
      <c r="F49" s="113">
        <v>2238.53791</v>
      </c>
      <c r="G49" s="282">
        <f t="shared" si="12"/>
        <v>5.7061843323124254E-3</v>
      </c>
      <c r="H49" s="282">
        <f t="shared" si="14"/>
        <v>-0.1140567953085925</v>
      </c>
      <c r="I49" s="288">
        <v>229.52600000000001</v>
      </c>
      <c r="J49" s="113">
        <v>2505.2957500000002</v>
      </c>
      <c r="K49" s="282">
        <f t="shared" si="13"/>
        <v>6.355244213091151E-3</v>
      </c>
    </row>
    <row r="50" spans="1:11" ht="11.15" customHeight="1">
      <c r="A50" s="399"/>
      <c r="B50" s="399"/>
      <c r="C50" s="293" t="s">
        <v>0</v>
      </c>
      <c r="D50" s="296">
        <v>131237</v>
      </c>
      <c r="E50" s="294">
        <v>35636.248</v>
      </c>
      <c r="F50" s="294">
        <v>392298.99344500003</v>
      </c>
      <c r="G50" s="295">
        <f>SUM(G45:G49)</f>
        <v>1</v>
      </c>
      <c r="H50" s="295">
        <f t="shared" ref="H50" si="15">(E50-I50)/I50</f>
        <v>-1.3283641599291185E-2</v>
      </c>
      <c r="I50" s="296">
        <v>36116</v>
      </c>
      <c r="J50" s="294">
        <v>394207.99216999992</v>
      </c>
      <c r="K50" s="295">
        <f>SUM(K45:K49)</f>
        <v>1</v>
      </c>
    </row>
    <row r="51" spans="1:11" ht="11.15" customHeight="1">
      <c r="A51" s="397" t="str">
        <f>'3.1'!F5</f>
        <v>Prosinec</v>
      </c>
      <c r="B51" s="397"/>
      <c r="C51" s="147" t="s">
        <v>4</v>
      </c>
      <c r="D51" s="287">
        <v>83</v>
      </c>
      <c r="E51" s="283">
        <v>10600.852000000001</v>
      </c>
      <c r="F51" s="283">
        <v>116369.202846</v>
      </c>
      <c r="G51" s="284">
        <f>E51/$E$56</f>
        <v>0.2671394150293408</v>
      </c>
      <c r="H51" s="284">
        <f>(E51-I51)/I51</f>
        <v>2.2944144018959695E-2</v>
      </c>
      <c r="I51" s="287">
        <v>10363.08</v>
      </c>
      <c r="J51" s="283">
        <v>112817.56461</v>
      </c>
      <c r="K51" s="284">
        <f>I51/$I$56</f>
        <v>0.25736871515317084</v>
      </c>
    </row>
    <row r="52" spans="1:11" ht="11.15" customHeight="1">
      <c r="A52" s="398"/>
      <c r="B52" s="398"/>
      <c r="C52" s="137" t="s">
        <v>5</v>
      </c>
      <c r="D52" s="288">
        <v>246</v>
      </c>
      <c r="E52" s="113">
        <v>3914.259</v>
      </c>
      <c r="F52" s="113">
        <v>42967.185109999999</v>
      </c>
      <c r="G52" s="282">
        <f t="shared" ref="G52:G55" si="16">E52/$E$56</f>
        <v>9.8638567874858765E-2</v>
      </c>
      <c r="H52" s="282">
        <f t="shared" ref="H52:H55" si="17">(E52-I52)/I52</f>
        <v>-2.6245838993910323E-2</v>
      </c>
      <c r="I52" s="288">
        <v>4019.761</v>
      </c>
      <c r="J52" s="113">
        <v>43761.206250000003</v>
      </c>
      <c r="K52" s="282">
        <f t="shared" ref="K52:K55" si="18">I52/$I$56</f>
        <v>9.9831394121518424E-2</v>
      </c>
    </row>
    <row r="53" spans="1:11" ht="11.15" customHeight="1">
      <c r="A53" s="398"/>
      <c r="B53" s="398"/>
      <c r="C53" s="137" t="s">
        <v>6</v>
      </c>
      <c r="D53" s="288">
        <v>11061</v>
      </c>
      <c r="E53" s="113">
        <v>8722.3340000000007</v>
      </c>
      <c r="F53" s="113">
        <v>95746.491330000004</v>
      </c>
      <c r="G53" s="282">
        <f t="shared" si="16"/>
        <v>0.21980112565013926</v>
      </c>
      <c r="H53" s="282">
        <f t="shared" si="17"/>
        <v>-2.441726766763886E-2</v>
      </c>
      <c r="I53" s="288">
        <v>8940.64</v>
      </c>
      <c r="J53" s="113">
        <v>97332.621849999996</v>
      </c>
      <c r="K53" s="282">
        <f t="shared" si="18"/>
        <v>0.22204219493114452</v>
      </c>
    </row>
    <row r="54" spans="1:11" ht="11.15" customHeight="1">
      <c r="A54" s="398"/>
      <c r="B54" s="398"/>
      <c r="C54" s="137" t="s">
        <v>7</v>
      </c>
      <c r="D54" s="288">
        <v>119789</v>
      </c>
      <c r="E54" s="113">
        <v>16231.1</v>
      </c>
      <c r="F54" s="113">
        <v>178172.7</v>
      </c>
      <c r="G54" s="282">
        <f t="shared" si="16"/>
        <v>0.40902057299571137</v>
      </c>
      <c r="H54" s="282">
        <f t="shared" si="17"/>
        <v>-3.0585551149123247E-2</v>
      </c>
      <c r="I54" s="288">
        <v>16743.2</v>
      </c>
      <c r="J54" s="113">
        <v>182275.3</v>
      </c>
      <c r="K54" s="282">
        <f t="shared" si="18"/>
        <v>0.41581999478461712</v>
      </c>
    </row>
    <row r="55" spans="1:11" ht="11.15" customHeight="1">
      <c r="A55" s="398"/>
      <c r="B55" s="398"/>
      <c r="C55" s="137" t="s">
        <v>90</v>
      </c>
      <c r="D55" s="288">
        <v>15</v>
      </c>
      <c r="E55" s="113">
        <v>214.3</v>
      </c>
      <c r="F55" s="113">
        <v>2352.41572</v>
      </c>
      <c r="G55" s="282">
        <f t="shared" si="16"/>
        <v>5.4003184499498459E-3</v>
      </c>
      <c r="H55" s="282">
        <f t="shared" si="17"/>
        <v>7.7864791594364838E-2</v>
      </c>
      <c r="I55" s="288">
        <v>198.81899999999999</v>
      </c>
      <c r="J55" s="113">
        <v>2164.4505300000001</v>
      </c>
      <c r="K55" s="282">
        <f t="shared" si="18"/>
        <v>4.9377010095491176E-3</v>
      </c>
    </row>
    <row r="56" spans="1:11" ht="11.15" customHeight="1">
      <c r="A56" s="399"/>
      <c r="B56" s="399"/>
      <c r="C56" s="293" t="s">
        <v>0</v>
      </c>
      <c r="D56" s="296">
        <v>131194</v>
      </c>
      <c r="E56" s="294">
        <v>39682.845000000001</v>
      </c>
      <c r="F56" s="294">
        <v>435607.99500599998</v>
      </c>
      <c r="G56" s="295">
        <f>SUM(G51:G55)</f>
        <v>1</v>
      </c>
      <c r="H56" s="295">
        <f t="shared" ref="H56" si="19">(E56-I56)/I56</f>
        <v>-1.4470328196595071E-2</v>
      </c>
      <c r="I56" s="296">
        <v>40265.5</v>
      </c>
      <c r="J56" s="294">
        <v>438351.14323999995</v>
      </c>
      <c r="K56" s="295">
        <f>SUM(K51:K55)</f>
        <v>1</v>
      </c>
    </row>
    <row r="57" spans="1:11" ht="11.15" customHeight="1">
      <c r="A57" s="467" t="str">
        <f>'3.1'!G5</f>
        <v>IV. čtvrtletí</v>
      </c>
      <c r="B57" s="397"/>
      <c r="C57" s="147" t="s">
        <v>4</v>
      </c>
      <c r="D57" s="287">
        <f>D51</f>
        <v>83</v>
      </c>
      <c r="E57" s="283">
        <f>E39+E45+E51</f>
        <v>32641.726999999999</v>
      </c>
      <c r="F57" s="283">
        <f>F39+F45+F51</f>
        <v>359455.77332899999</v>
      </c>
      <c r="G57" s="284">
        <f>E57/$E$62</f>
        <v>0.31697897381117274</v>
      </c>
      <c r="H57" s="284">
        <f>(E57-I57)/I57</f>
        <v>5.3209089629901334E-2</v>
      </c>
      <c r="I57" s="287">
        <f>I39+I45+I51</f>
        <v>30992.637000000002</v>
      </c>
      <c r="J57" s="283">
        <f>J39+J45+J51</f>
        <v>338321.84285999998</v>
      </c>
      <c r="K57" s="284">
        <f>I57/$I$62</f>
        <v>0.31139647274784255</v>
      </c>
    </row>
    <row r="58" spans="1:11" ht="11.15" customHeight="1">
      <c r="A58" s="398"/>
      <c r="B58" s="398"/>
      <c r="C58" s="137" t="s">
        <v>5</v>
      </c>
      <c r="D58" s="288">
        <f>D52</f>
        <v>246</v>
      </c>
      <c r="E58" s="113">
        <f t="shared" ref="E58:F59" si="20">E40+E46+E52</f>
        <v>11184.893</v>
      </c>
      <c r="F58" s="113">
        <f t="shared" si="20"/>
        <v>123135.66193999999</v>
      </c>
      <c r="G58" s="282">
        <f t="shared" ref="G58:G61" si="21">E58/$E$62</f>
        <v>0.10861483846512683</v>
      </c>
      <c r="H58" s="282">
        <f t="shared" ref="H58:H61" si="22">(E58-I58)/I58</f>
        <v>4.4280142381980511E-2</v>
      </c>
      <c r="I58" s="288">
        <f t="shared" ref="I58:J58" si="23">I40+I46+I52</f>
        <v>10710.625</v>
      </c>
      <c r="J58" s="113">
        <f t="shared" si="23"/>
        <v>116890.10892</v>
      </c>
      <c r="K58" s="282">
        <f t="shared" ref="K58:K61" si="24">I58/$I$62</f>
        <v>0.10761429709659301</v>
      </c>
    </row>
    <row r="59" spans="1:11" ht="11.15" customHeight="1">
      <c r="A59" s="398"/>
      <c r="B59" s="398"/>
      <c r="C59" s="137" t="s">
        <v>6</v>
      </c>
      <c r="D59" s="288">
        <f>D53</f>
        <v>11061</v>
      </c>
      <c r="E59" s="113">
        <f>E41+E47+E53</f>
        <v>20637.008000000002</v>
      </c>
      <c r="F59" s="113">
        <f t="shared" si="20"/>
        <v>227097.88879</v>
      </c>
      <c r="G59" s="282">
        <f t="shared" si="21"/>
        <v>0.20040292654775779</v>
      </c>
      <c r="H59" s="282">
        <f t="shared" si="22"/>
        <v>1.7850025575709947E-2</v>
      </c>
      <c r="I59" s="288">
        <f>I41+I47+I53</f>
        <v>20275.097000000002</v>
      </c>
      <c r="J59" s="113">
        <f t="shared" ref="J59" si="25">J41+J47+J53</f>
        <v>221188.91175999999</v>
      </c>
      <c r="K59" s="282">
        <f t="shared" si="24"/>
        <v>0.20371269764558481</v>
      </c>
    </row>
    <row r="60" spans="1:11" ht="11.15" customHeight="1">
      <c r="A60" s="398"/>
      <c r="B60" s="398"/>
      <c r="C60" s="137" t="s">
        <v>7</v>
      </c>
      <c r="D60" s="288">
        <f>D54</f>
        <v>119789</v>
      </c>
      <c r="E60" s="113">
        <f t="shared" ref="E60:F61" si="26">E42+E48+E54</f>
        <v>37879.1</v>
      </c>
      <c r="F60" s="113">
        <f t="shared" si="26"/>
        <v>416825</v>
      </c>
      <c r="G60" s="282">
        <f t="shared" si="21"/>
        <v>0.36783832690258061</v>
      </c>
      <c r="H60" s="282">
        <f t="shared" si="22"/>
        <v>2.6828845142506982E-2</v>
      </c>
      <c r="I60" s="288">
        <f t="shared" ref="I60:J60" si="27">I42+I48+I54</f>
        <v>36889.4</v>
      </c>
      <c r="J60" s="113">
        <f t="shared" si="27"/>
        <v>402415</v>
      </c>
      <c r="K60" s="282">
        <f t="shared" si="24"/>
        <v>0.37064380942429209</v>
      </c>
    </row>
    <row r="61" spans="1:11" ht="11.15" customHeight="1">
      <c r="A61" s="398"/>
      <c r="B61" s="398"/>
      <c r="C61" s="137" t="s">
        <v>90</v>
      </c>
      <c r="D61" s="288">
        <f>D55</f>
        <v>15</v>
      </c>
      <c r="E61" s="113">
        <f>E43+E49+E55</f>
        <v>634.85</v>
      </c>
      <c r="F61" s="113">
        <f t="shared" si="26"/>
        <v>6990.8007499999994</v>
      </c>
      <c r="G61" s="282">
        <f t="shared" si="21"/>
        <v>6.1649342733619151E-3</v>
      </c>
      <c r="H61" s="282">
        <f t="shared" si="22"/>
        <v>-3.8311512237537045E-2</v>
      </c>
      <c r="I61" s="288">
        <f>I43+I49+I55</f>
        <v>660.14099999999996</v>
      </c>
      <c r="J61" s="113">
        <f t="shared" ref="J61" si="28">J43+J49+J55</f>
        <v>7208.0310200000004</v>
      </c>
      <c r="K61" s="282">
        <f t="shared" si="24"/>
        <v>6.6327230856875301E-3</v>
      </c>
    </row>
    <row r="62" spans="1:11" ht="11.15" customHeight="1">
      <c r="A62" s="399"/>
      <c r="B62" s="399"/>
      <c r="C62" s="293" t="s">
        <v>0</v>
      </c>
      <c r="D62" s="296">
        <f>SUM(D57:D61)</f>
        <v>131194</v>
      </c>
      <c r="E62" s="294">
        <f>SUM(E57:E61)</f>
        <v>102977.57800000001</v>
      </c>
      <c r="F62" s="294">
        <f>SUM(F57:F61)</f>
        <v>1133505.1248089999</v>
      </c>
      <c r="G62" s="295">
        <f>SUM(G57:G61)</f>
        <v>0.99999999999999989</v>
      </c>
      <c r="H62" s="295">
        <f>(E62-I62)/I62</f>
        <v>3.4660411804127281E-2</v>
      </c>
      <c r="I62" s="296">
        <f>SUM(I57:I61)</f>
        <v>99527.900000000009</v>
      </c>
      <c r="J62" s="294">
        <f>SUM(J57:J61)</f>
        <v>1086023.8945600002</v>
      </c>
      <c r="K62" s="295">
        <f>SUM(K57:K61)</f>
        <v>1</v>
      </c>
    </row>
    <row r="63" spans="1:11" ht="15" customHeight="1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1" ht="15" customHeight="1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I34:K35"/>
    <mergeCell ref="A51:B56"/>
    <mergeCell ref="I36:J37"/>
    <mergeCell ref="K36:K38"/>
    <mergeCell ref="A57:B62"/>
    <mergeCell ref="A39:B44"/>
    <mergeCell ref="A45:B50"/>
    <mergeCell ref="A27:B32"/>
    <mergeCell ref="H36:H38"/>
    <mergeCell ref="A38:B38"/>
    <mergeCell ref="E36:F37"/>
    <mergeCell ref="G36:G38"/>
    <mergeCell ref="A34:C34"/>
    <mergeCell ref="D34:D35"/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27"/>
  <dimension ref="A1:T120"/>
  <sheetViews>
    <sheetView showGridLines="0" topLeftCell="A10" zoomScaleNormal="100" zoomScaleSheetLayoutView="100" workbookViewId="0">
      <selection activeCell="G1" sqref="G1"/>
    </sheetView>
  </sheetViews>
  <sheetFormatPr defaultColWidth="9.1796875" defaultRowHeight="12.5"/>
  <cols>
    <col min="1" max="1" width="9.453125" style="67" customWidth="1"/>
    <col min="2" max="2" width="3.81640625" style="67" customWidth="1"/>
    <col min="3" max="11" width="9.54296875" style="67" customWidth="1"/>
    <col min="12" max="13" width="9.1796875" style="67"/>
    <col min="14" max="14" width="11.1796875" style="67" customWidth="1"/>
    <col min="15" max="16384" width="9.1796875" style="67"/>
  </cols>
  <sheetData>
    <row r="1" spans="1:16" s="91" customFormat="1" ht="18">
      <c r="A1" s="471" t="s">
        <v>291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</row>
    <row r="2" spans="1:16" s="91" customFormat="1" ht="3" customHeight="1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6" ht="3" customHeight="1">
      <c r="A3" s="491"/>
      <c r="B3" s="491"/>
      <c r="C3" s="491"/>
      <c r="D3" s="275"/>
      <c r="E3" s="275"/>
      <c r="F3" s="276"/>
      <c r="G3" s="277"/>
      <c r="H3" s="277"/>
      <c r="I3" s="277"/>
    </row>
    <row r="4" spans="1:16" ht="13" customHeight="1">
      <c r="A4" s="463" t="s">
        <v>42</v>
      </c>
      <c r="B4" s="463"/>
      <c r="C4" s="463"/>
      <c r="D4" s="457">
        <f>'3.1'!A4</f>
        <v>2025</v>
      </c>
      <c r="E4" s="328"/>
      <c r="F4" s="317"/>
      <c r="G4" s="317"/>
      <c r="H4" s="317"/>
      <c r="I4" s="457">
        <f>D4-1</f>
        <v>2024</v>
      </c>
      <c r="J4" s="458"/>
      <c r="K4" s="458"/>
    </row>
    <row r="5" spans="1:16" ht="25" customHeight="1">
      <c r="A5" s="133"/>
      <c r="B5" s="133"/>
      <c r="C5" s="133"/>
      <c r="D5" s="459"/>
      <c r="E5" s="329"/>
      <c r="F5" s="330"/>
      <c r="G5" s="330"/>
      <c r="H5" s="331"/>
      <c r="I5" s="459"/>
      <c r="J5" s="460"/>
      <c r="K5" s="460"/>
    </row>
    <row r="6" spans="1:16" ht="25" customHeight="1">
      <c r="A6" s="279"/>
      <c r="B6" s="253"/>
      <c r="C6" s="280"/>
      <c r="D6" s="338" t="s">
        <v>156</v>
      </c>
      <c r="E6" s="455" t="s">
        <v>59</v>
      </c>
      <c r="F6" s="455"/>
      <c r="G6" s="456" t="s">
        <v>32</v>
      </c>
      <c r="H6" s="456" t="s">
        <v>256</v>
      </c>
      <c r="I6" s="453" t="s">
        <v>59</v>
      </c>
      <c r="J6" s="454"/>
      <c r="K6" s="456" t="s">
        <v>32</v>
      </c>
    </row>
    <row r="7" spans="1:16" ht="25" customHeight="1">
      <c r="A7" s="279"/>
      <c r="B7" s="281"/>
      <c r="D7" s="339"/>
      <c r="E7" s="455"/>
      <c r="F7" s="455"/>
      <c r="G7" s="456"/>
      <c r="H7" s="456"/>
      <c r="I7" s="453"/>
      <c r="J7" s="454"/>
      <c r="K7" s="456"/>
    </row>
    <row r="8" spans="1:16" ht="15" customHeight="1">
      <c r="A8" s="464" t="s">
        <v>155</v>
      </c>
      <c r="B8" s="464"/>
      <c r="C8" s="298" t="s">
        <v>180</v>
      </c>
      <c r="D8" s="318"/>
      <c r="E8" s="201" t="s">
        <v>247</v>
      </c>
      <c r="F8" s="201" t="s">
        <v>248</v>
      </c>
      <c r="G8" s="442"/>
      <c r="H8" s="442"/>
      <c r="I8" s="203" t="s">
        <v>247</v>
      </c>
      <c r="J8" s="201" t="s">
        <v>248</v>
      </c>
      <c r="K8" s="442"/>
    </row>
    <row r="9" spans="1:16" ht="11.15" customHeight="1">
      <c r="A9" s="397" t="str">
        <f>'3.1'!D5</f>
        <v>Říjen</v>
      </c>
      <c r="B9" s="397"/>
      <c r="C9" s="147" t="s">
        <v>4</v>
      </c>
      <c r="D9" s="287">
        <v>83</v>
      </c>
      <c r="E9" s="283">
        <v>11784.44</v>
      </c>
      <c r="F9" s="283">
        <v>130205.23338000001</v>
      </c>
      <c r="G9" s="284">
        <f>E9/$E$14</f>
        <v>0.42259644693715082</v>
      </c>
      <c r="H9" s="284">
        <f>(E9-I9)/I9</f>
        <v>-2.1232579645221669E-2</v>
      </c>
      <c r="I9" s="287">
        <v>12040.082</v>
      </c>
      <c r="J9" s="283">
        <v>131844.43621000001</v>
      </c>
      <c r="K9" s="284">
        <f>I9/$I$14</f>
        <v>0.47303751664852844</v>
      </c>
    </row>
    <row r="10" spans="1:16" ht="11.15" customHeight="1">
      <c r="A10" s="398"/>
      <c r="B10" s="398"/>
      <c r="C10" s="137" t="s">
        <v>5</v>
      </c>
      <c r="D10" s="288">
        <v>307</v>
      </c>
      <c r="E10" s="113">
        <v>3017.2020000000002</v>
      </c>
      <c r="F10" s="113">
        <v>33336.315390000003</v>
      </c>
      <c r="G10" s="282">
        <f>E10/$E$14</f>
        <v>0.10819850963572859</v>
      </c>
      <c r="H10" s="282">
        <f>(E10-I10)/I10</f>
        <v>0.17550103497163913</v>
      </c>
      <c r="I10" s="288">
        <v>2566.7370000000001</v>
      </c>
      <c r="J10" s="113">
        <v>28106.723050000001</v>
      </c>
      <c r="K10" s="282">
        <f>I10/$I$14</f>
        <v>0.10084340757562066</v>
      </c>
      <c r="L10" s="68"/>
      <c r="N10" s="68"/>
      <c r="O10" s="68"/>
      <c r="P10" s="68"/>
    </row>
    <row r="11" spans="1:16" ht="11.15" customHeight="1">
      <c r="A11" s="398"/>
      <c r="B11" s="398"/>
      <c r="C11" s="137" t="s">
        <v>6</v>
      </c>
      <c r="D11" s="288">
        <v>11586</v>
      </c>
      <c r="E11" s="113">
        <v>5109.8270000000002</v>
      </c>
      <c r="F11" s="113">
        <v>56457.671410000003</v>
      </c>
      <c r="G11" s="282">
        <f>E11/$E$14</f>
        <v>0.18324118368488623</v>
      </c>
      <c r="H11" s="282">
        <f t="shared" ref="H11:H13" si="0">(E11-I11)/I11</f>
        <v>0.17671034075553357</v>
      </c>
      <c r="I11" s="288">
        <v>4342.4679999999998</v>
      </c>
      <c r="J11" s="113">
        <v>47552.072139999997</v>
      </c>
      <c r="K11" s="282">
        <f>I11/$I$14</f>
        <v>0.17060932631901526</v>
      </c>
      <c r="L11" s="68"/>
      <c r="N11" s="68"/>
      <c r="O11" s="68"/>
      <c r="P11" s="68"/>
    </row>
    <row r="12" spans="1:16" ht="11.15" customHeight="1">
      <c r="A12" s="398"/>
      <c r="B12" s="398"/>
      <c r="C12" s="137" t="s">
        <v>7</v>
      </c>
      <c r="D12" s="288">
        <v>141759</v>
      </c>
      <c r="E12" s="113">
        <v>7812.3</v>
      </c>
      <c r="F12" s="113">
        <v>86317</v>
      </c>
      <c r="G12" s="282">
        <f>E12/$E$14</f>
        <v>0.28015333969260342</v>
      </c>
      <c r="H12" s="282">
        <f t="shared" si="0"/>
        <v>0.23290460033141328</v>
      </c>
      <c r="I12" s="288">
        <v>6336.5</v>
      </c>
      <c r="J12" s="113">
        <v>69387.600000000006</v>
      </c>
      <c r="K12" s="282">
        <f>I12/$I$14</f>
        <v>0.24895197758980384</v>
      </c>
      <c r="L12" s="68"/>
      <c r="N12" s="68"/>
      <c r="O12" s="68"/>
      <c r="P12" s="68"/>
    </row>
    <row r="13" spans="1:16" ht="11.15" customHeight="1">
      <c r="A13" s="398"/>
      <c r="B13" s="398"/>
      <c r="C13" s="137" t="s">
        <v>90</v>
      </c>
      <c r="D13" s="288">
        <v>15</v>
      </c>
      <c r="E13" s="113">
        <v>162.03100000000001</v>
      </c>
      <c r="F13" s="113">
        <v>1790.26064</v>
      </c>
      <c r="G13" s="282">
        <f>E13/$E$14</f>
        <v>5.8105200496309951E-3</v>
      </c>
      <c r="H13" s="282">
        <f t="shared" si="0"/>
        <v>-2.9248770317470807E-2</v>
      </c>
      <c r="I13" s="288">
        <v>166.91300000000001</v>
      </c>
      <c r="J13" s="113">
        <v>1827.7783199999999</v>
      </c>
      <c r="K13" s="282">
        <f>I13/$I$14</f>
        <v>6.5577718670317888E-3</v>
      </c>
      <c r="L13" s="68"/>
      <c r="N13" s="68"/>
      <c r="O13" s="68"/>
      <c r="P13" s="68"/>
    </row>
    <row r="14" spans="1:16" ht="11.15" customHeight="1">
      <c r="A14" s="399"/>
      <c r="B14" s="399"/>
      <c r="C14" s="293" t="s">
        <v>0</v>
      </c>
      <c r="D14" s="296">
        <v>153750</v>
      </c>
      <c r="E14" s="294">
        <v>27885.8</v>
      </c>
      <c r="F14" s="294">
        <v>308106.48082</v>
      </c>
      <c r="G14" s="295">
        <f>SUM(G9:G13)</f>
        <v>1.0000000000000002</v>
      </c>
      <c r="H14" s="295">
        <f>(E14-I14)/I14</f>
        <v>9.559300192121066E-2</v>
      </c>
      <c r="I14" s="296">
        <v>25452.7</v>
      </c>
      <c r="J14" s="294">
        <v>278718.60972000001</v>
      </c>
      <c r="K14" s="295">
        <f>SUM(K9:K13)</f>
        <v>1</v>
      </c>
      <c r="L14" s="68"/>
    </row>
    <row r="15" spans="1:16" ht="11.15" customHeight="1">
      <c r="A15" s="397" t="str">
        <f>'3.1'!E5</f>
        <v>Listopad</v>
      </c>
      <c r="B15" s="397"/>
      <c r="C15" s="147" t="s">
        <v>4</v>
      </c>
      <c r="D15" s="287">
        <v>84</v>
      </c>
      <c r="E15" s="283">
        <v>12894.874</v>
      </c>
      <c r="F15" s="283">
        <v>141952.45311</v>
      </c>
      <c r="G15" s="284">
        <f>E15/$E$20</f>
        <v>0.34378996480750768</v>
      </c>
      <c r="H15" s="284">
        <f>(E15-I15)/I15</f>
        <v>1.961926356755251E-2</v>
      </c>
      <c r="I15" s="287">
        <v>12646.754000000001</v>
      </c>
      <c r="J15" s="283">
        <v>138039.94183</v>
      </c>
      <c r="K15" s="284">
        <f>I15/$I$20</f>
        <v>0.33674390243902441</v>
      </c>
      <c r="L15" s="68"/>
      <c r="M15" s="68"/>
    </row>
    <row r="16" spans="1:16" ht="11.15" customHeight="1">
      <c r="A16" s="398"/>
      <c r="B16" s="398"/>
      <c r="C16" s="137" t="s">
        <v>5</v>
      </c>
      <c r="D16" s="288">
        <v>306</v>
      </c>
      <c r="E16" s="113">
        <v>4342.5780000000004</v>
      </c>
      <c r="F16" s="113">
        <v>47804.60626</v>
      </c>
      <c r="G16" s="282">
        <f>E16/$E$20</f>
        <v>0.1157773808254239</v>
      </c>
      <c r="H16" s="282">
        <f>(E16-I16)/I16</f>
        <v>-9.6115557611176541E-3</v>
      </c>
      <c r="I16" s="288">
        <v>4384.7219999999998</v>
      </c>
      <c r="J16" s="113">
        <v>47859.918890000001</v>
      </c>
      <c r="K16" s="282">
        <f>I16/$I$20</f>
        <v>0.11675157098732558</v>
      </c>
      <c r="L16" s="86"/>
      <c r="M16" s="68"/>
    </row>
    <row r="17" spans="1:20" ht="11.15" customHeight="1">
      <c r="A17" s="398"/>
      <c r="B17" s="398"/>
      <c r="C17" s="137" t="s">
        <v>6</v>
      </c>
      <c r="D17" s="288">
        <v>11591</v>
      </c>
      <c r="E17" s="113">
        <v>7979.0450000000001</v>
      </c>
      <c r="F17" s="113">
        <v>87837.16575</v>
      </c>
      <c r="G17" s="282">
        <f>E17/$E$20</f>
        <v>0.21272915111442889</v>
      </c>
      <c r="H17" s="282">
        <f t="shared" ref="H17:H20" si="1">(E17-I17)/I17</f>
        <v>-1.408592540531412E-2</v>
      </c>
      <c r="I17" s="288">
        <v>8093.0429999999997</v>
      </c>
      <c r="J17" s="113">
        <v>88335.542180000004</v>
      </c>
      <c r="K17" s="282">
        <f>I17/$I$20</f>
        <v>0.2154926776014485</v>
      </c>
      <c r="L17" s="68"/>
      <c r="M17" s="68"/>
      <c r="N17" s="68"/>
      <c r="O17" s="68"/>
    </row>
    <row r="18" spans="1:20" ht="11.15" customHeight="1">
      <c r="A18" s="398"/>
      <c r="B18" s="398"/>
      <c r="C18" s="137" t="s">
        <v>7</v>
      </c>
      <c r="D18" s="288">
        <v>141686</v>
      </c>
      <c r="E18" s="113">
        <v>12198.9</v>
      </c>
      <c r="F18" s="113">
        <v>134291.1</v>
      </c>
      <c r="G18" s="282">
        <f>E18/$E$20</f>
        <v>0.32523461661512204</v>
      </c>
      <c r="H18" s="282">
        <f t="shared" si="1"/>
        <v>-7.1297765840557005E-3</v>
      </c>
      <c r="I18" s="288">
        <v>12286.5</v>
      </c>
      <c r="J18" s="113">
        <v>134107.5</v>
      </c>
      <c r="K18" s="282">
        <f>I18/$I$20</f>
        <v>0.32715145382894878</v>
      </c>
      <c r="L18" s="68"/>
      <c r="M18" s="68"/>
      <c r="N18" s="68"/>
      <c r="O18" s="68"/>
    </row>
    <row r="19" spans="1:20" ht="11.15" customHeight="1">
      <c r="A19" s="398"/>
      <c r="B19" s="398"/>
      <c r="C19" s="137" t="s">
        <v>90</v>
      </c>
      <c r="D19" s="288">
        <v>15</v>
      </c>
      <c r="E19" s="113">
        <v>92.602999999999994</v>
      </c>
      <c r="F19" s="113">
        <v>1019.41747</v>
      </c>
      <c r="G19" s="282">
        <f>E19/$E$20</f>
        <v>2.4688866375173289E-3</v>
      </c>
      <c r="H19" s="282">
        <f t="shared" si="1"/>
        <v>-0.3612749256799167</v>
      </c>
      <c r="I19" s="288">
        <v>144.98099999999999</v>
      </c>
      <c r="J19" s="113">
        <v>1582.4829500000001</v>
      </c>
      <c r="K19" s="282">
        <f>I19/$I$20</f>
        <v>3.8603951432527425E-3</v>
      </c>
      <c r="L19" s="68"/>
      <c r="M19" s="68"/>
      <c r="N19" s="68"/>
      <c r="O19" s="68"/>
    </row>
    <row r="20" spans="1:20" ht="11.15" customHeight="1">
      <c r="A20" s="399"/>
      <c r="B20" s="399"/>
      <c r="C20" s="293" t="s">
        <v>0</v>
      </c>
      <c r="D20" s="296">
        <v>153682</v>
      </c>
      <c r="E20" s="294">
        <v>37508.000000000007</v>
      </c>
      <c r="F20" s="294">
        <v>412904.74259000004</v>
      </c>
      <c r="G20" s="295">
        <f>SUM(G15:G19)</f>
        <v>0.99999999999999978</v>
      </c>
      <c r="H20" s="295">
        <f t="shared" si="1"/>
        <v>-1.2780913835337289E-3</v>
      </c>
      <c r="I20" s="296">
        <v>37556</v>
      </c>
      <c r="J20" s="294">
        <v>409925.38584999996</v>
      </c>
      <c r="K20" s="295">
        <f>SUM(K15:K19)</f>
        <v>1</v>
      </c>
      <c r="L20" s="68"/>
      <c r="M20" s="68"/>
      <c r="N20" s="68"/>
      <c r="O20" s="68"/>
    </row>
    <row r="21" spans="1:20" ht="11.15" customHeight="1">
      <c r="A21" s="397" t="str">
        <f>'3.1'!F5</f>
        <v>Prosinec</v>
      </c>
      <c r="B21" s="397"/>
      <c r="C21" s="147" t="s">
        <v>4</v>
      </c>
      <c r="D21" s="287">
        <v>84</v>
      </c>
      <c r="E21" s="283">
        <v>11278.623</v>
      </c>
      <c r="F21" s="283">
        <v>123807.44018999999</v>
      </c>
      <c r="G21" s="284">
        <f>E21/$E$26</f>
        <v>0.27684871855922905</v>
      </c>
      <c r="H21" s="284">
        <f>(E21-I21)/I21</f>
        <v>-0.10308939926611348</v>
      </c>
      <c r="I21" s="287">
        <v>12574.968999999999</v>
      </c>
      <c r="J21" s="283">
        <v>136897.45581000001</v>
      </c>
      <c r="K21" s="284">
        <f>I21/$I$26</f>
        <v>0.29313101998191088</v>
      </c>
      <c r="L21" s="78"/>
      <c r="M21" s="78"/>
      <c r="N21" s="78"/>
      <c r="O21" s="78"/>
      <c r="P21" s="78"/>
      <c r="Q21" s="78"/>
      <c r="R21" s="78"/>
      <c r="S21" s="78"/>
      <c r="T21" s="78"/>
    </row>
    <row r="22" spans="1:20" ht="11.15" customHeight="1">
      <c r="A22" s="398"/>
      <c r="B22" s="398"/>
      <c r="C22" s="137" t="s">
        <v>5</v>
      </c>
      <c r="D22" s="288">
        <v>304</v>
      </c>
      <c r="E22" s="113">
        <v>4761.5969999999998</v>
      </c>
      <c r="F22" s="113">
        <v>52269.552170000003</v>
      </c>
      <c r="G22" s="282">
        <f>E22/$E$26</f>
        <v>0.116879696018341</v>
      </c>
      <c r="H22" s="282">
        <f t="shared" ref="H22:H26" si="2">(E22-I22)/I22</f>
        <v>-2.9566883622952549E-2</v>
      </c>
      <c r="I22" s="288">
        <v>4906.6719999999996</v>
      </c>
      <c r="J22" s="113">
        <v>53416.815889999998</v>
      </c>
      <c r="K22" s="282">
        <f>I22/$I$26</f>
        <v>0.11437783807472468</v>
      </c>
      <c r="L22" s="78"/>
      <c r="M22" s="78"/>
      <c r="N22" s="78"/>
      <c r="O22" s="78"/>
      <c r="P22" s="78"/>
      <c r="Q22" s="78"/>
      <c r="R22" s="78"/>
      <c r="S22" s="78"/>
      <c r="T22" s="78"/>
    </row>
    <row r="23" spans="1:20" ht="11.15" customHeight="1">
      <c r="A23" s="398"/>
      <c r="B23" s="398"/>
      <c r="C23" s="137" t="s">
        <v>6</v>
      </c>
      <c r="D23" s="288">
        <v>11598</v>
      </c>
      <c r="E23" s="113">
        <v>9563.7520000000004</v>
      </c>
      <c r="F23" s="113">
        <v>104983.05418000001</v>
      </c>
      <c r="G23" s="282">
        <f>E23/$E$26</f>
        <v>0.23475494178839595</v>
      </c>
      <c r="H23" s="282">
        <f t="shared" si="2"/>
        <v>-2.3929154442926568E-2</v>
      </c>
      <c r="I23" s="288">
        <v>9798.2150000000001</v>
      </c>
      <c r="J23" s="113">
        <v>106668.24546999999</v>
      </c>
      <c r="K23" s="282">
        <f>I23/$I$26</f>
        <v>0.22840300894197504</v>
      </c>
      <c r="L23" s="78"/>
      <c r="M23" s="78"/>
      <c r="N23" s="78"/>
      <c r="O23" s="78"/>
      <c r="P23" s="78"/>
      <c r="Q23" s="78"/>
      <c r="R23" s="78"/>
      <c r="S23" s="78"/>
      <c r="T23" s="78"/>
    </row>
    <row r="24" spans="1:20" ht="11.15" customHeight="1">
      <c r="A24" s="398"/>
      <c r="B24" s="398"/>
      <c r="C24" s="137" t="s">
        <v>7</v>
      </c>
      <c r="D24" s="288">
        <v>141628</v>
      </c>
      <c r="E24" s="113">
        <v>15003.9</v>
      </c>
      <c r="F24" s="113">
        <v>164701.20000000001</v>
      </c>
      <c r="G24" s="282">
        <f>E24/$E$26</f>
        <v>0.36829056954832307</v>
      </c>
      <c r="H24" s="282">
        <f t="shared" si="2"/>
        <v>-3.0586730243647126E-2</v>
      </c>
      <c r="I24" s="288">
        <v>15477.3</v>
      </c>
      <c r="J24" s="113">
        <v>168493.7</v>
      </c>
      <c r="K24" s="282">
        <f>I24/$I$26</f>
        <v>0.36078631570113845</v>
      </c>
      <c r="L24" s="78"/>
      <c r="M24" s="78"/>
      <c r="N24" s="78"/>
      <c r="O24" s="78"/>
      <c r="P24" s="78"/>
      <c r="Q24" s="78"/>
      <c r="R24" s="78"/>
      <c r="S24" s="78"/>
      <c r="T24" s="78"/>
    </row>
    <row r="25" spans="1:20" ht="11.15" customHeight="1">
      <c r="A25" s="398"/>
      <c r="B25" s="398"/>
      <c r="C25" s="137" t="s">
        <v>90</v>
      </c>
      <c r="D25" s="288">
        <v>15</v>
      </c>
      <c r="E25" s="113">
        <v>131.428</v>
      </c>
      <c r="F25" s="113">
        <v>1442.7145</v>
      </c>
      <c r="G25" s="282">
        <f>E25/$E$26</f>
        <v>3.2260740857108488E-3</v>
      </c>
      <c r="H25" s="282">
        <f t="shared" si="2"/>
        <v>-7.2124481093445589E-2</v>
      </c>
      <c r="I25" s="288">
        <v>141.64400000000001</v>
      </c>
      <c r="J25" s="113">
        <v>1542.0171399999999</v>
      </c>
      <c r="K25" s="282">
        <f>I25/$I$26</f>
        <v>3.3018173002508228E-3</v>
      </c>
      <c r="L25" s="78"/>
      <c r="M25" s="78"/>
      <c r="N25" s="78"/>
      <c r="O25" s="78"/>
      <c r="P25" s="78"/>
      <c r="Q25" s="78"/>
      <c r="R25" s="78"/>
      <c r="S25" s="78"/>
      <c r="T25" s="78"/>
    </row>
    <row r="26" spans="1:20" ht="11.15" customHeight="1">
      <c r="A26" s="399"/>
      <c r="B26" s="399"/>
      <c r="C26" s="293" t="s">
        <v>0</v>
      </c>
      <c r="D26" s="296">
        <v>153629</v>
      </c>
      <c r="E26" s="294">
        <v>40739.300000000003</v>
      </c>
      <c r="F26" s="294">
        <v>447203.96104000002</v>
      </c>
      <c r="G26" s="295">
        <f>SUM(G21:G25)</f>
        <v>0.99999999999999989</v>
      </c>
      <c r="H26" s="295">
        <f t="shared" si="2"/>
        <v>-5.0339403433196261E-2</v>
      </c>
      <c r="I26" s="296">
        <v>42898.8</v>
      </c>
      <c r="J26" s="294">
        <v>467018.23431000003</v>
      </c>
      <c r="K26" s="295">
        <f>SUM(K21:K25)</f>
        <v>0.99999999999999978</v>
      </c>
    </row>
    <row r="27" spans="1:20" ht="11.15" customHeight="1">
      <c r="A27" s="467" t="str">
        <f>'3.1'!G5</f>
        <v>IV. čtvrtletí</v>
      </c>
      <c r="B27" s="397"/>
      <c r="C27" s="147" t="s">
        <v>4</v>
      </c>
      <c r="D27" s="287">
        <f>D21</f>
        <v>84</v>
      </c>
      <c r="E27" s="283">
        <f>E9+E15+E21</f>
        <v>35957.936999999998</v>
      </c>
      <c r="F27" s="283">
        <f>F9+F15+F21</f>
        <v>395965.12667999999</v>
      </c>
      <c r="G27" s="284">
        <f>E27/$E$32</f>
        <v>0.33880040251344767</v>
      </c>
      <c r="H27" s="284">
        <f>(E27-I27)/I27</f>
        <v>-3.4992078349398326E-2</v>
      </c>
      <c r="I27" s="287">
        <f>I9+I15+I21</f>
        <v>37261.805</v>
      </c>
      <c r="J27" s="283">
        <f>J9+J15+J21</f>
        <v>406781.83385</v>
      </c>
      <c r="K27" s="284">
        <f>I27/$I$32</f>
        <v>0.35183348676911458</v>
      </c>
    </row>
    <row r="28" spans="1:20" ht="11.15" customHeight="1">
      <c r="A28" s="398"/>
      <c r="B28" s="398"/>
      <c r="C28" s="137" t="s">
        <v>5</v>
      </c>
      <c r="D28" s="288">
        <f>D22</f>
        <v>304</v>
      </c>
      <c r="E28" s="113">
        <f t="shared" ref="E28:F31" si="3">E10+E16+E22</f>
        <v>12121.377</v>
      </c>
      <c r="F28" s="113">
        <f t="shared" si="3"/>
        <v>133410.47382000001</v>
      </c>
      <c r="G28" s="282">
        <f>E28/$E$32</f>
        <v>0.11420920523380547</v>
      </c>
      <c r="H28" s="282">
        <f t="shared" ref="H28:H31" si="4">(E28-I28)/I28</f>
        <v>2.2199619822044554E-2</v>
      </c>
      <c r="I28" s="288">
        <f t="shared" ref="I28:J28" si="5">I10+I16+I22</f>
        <v>11858.130999999999</v>
      </c>
      <c r="J28" s="113">
        <f t="shared" si="5"/>
        <v>129383.45783</v>
      </c>
      <c r="K28" s="282">
        <f>I28/$I$32</f>
        <v>0.11196686731345749</v>
      </c>
    </row>
    <row r="29" spans="1:20" ht="11.15" customHeight="1">
      <c r="A29" s="398"/>
      <c r="B29" s="398"/>
      <c r="C29" s="137" t="s">
        <v>6</v>
      </c>
      <c r="D29" s="288">
        <f>D23</f>
        <v>11598</v>
      </c>
      <c r="E29" s="113">
        <f t="shared" si="3"/>
        <v>22652.624</v>
      </c>
      <c r="F29" s="113">
        <f t="shared" si="3"/>
        <v>249277.89134</v>
      </c>
      <c r="G29" s="282">
        <f>E29/$E$32</f>
        <v>0.21343599687562126</v>
      </c>
      <c r="H29" s="282">
        <f t="shared" si="4"/>
        <v>1.884065675721654E-2</v>
      </c>
      <c r="I29" s="288">
        <f t="shared" ref="I29:J29" si="6">I11+I17+I23</f>
        <v>22233.725999999999</v>
      </c>
      <c r="J29" s="113">
        <f t="shared" si="6"/>
        <v>242555.85978999999</v>
      </c>
      <c r="K29" s="282">
        <f>I29/$I$32</f>
        <v>0.20993533035903972</v>
      </c>
    </row>
    <row r="30" spans="1:20" ht="11.15" customHeight="1">
      <c r="A30" s="398"/>
      <c r="B30" s="398"/>
      <c r="C30" s="137" t="s">
        <v>7</v>
      </c>
      <c r="D30" s="288">
        <f>D24</f>
        <v>141628</v>
      </c>
      <c r="E30" s="113">
        <f t="shared" si="3"/>
        <v>35015.1</v>
      </c>
      <c r="F30" s="113">
        <f t="shared" si="3"/>
        <v>385309.30000000005</v>
      </c>
      <c r="G30" s="282">
        <f>E30/$E$32</f>
        <v>0.32991686853582902</v>
      </c>
      <c r="H30" s="282">
        <f t="shared" si="4"/>
        <v>2.6826743459734827E-2</v>
      </c>
      <c r="I30" s="288">
        <f t="shared" ref="I30:J30" si="7">I12+I18+I24</f>
        <v>34100.300000000003</v>
      </c>
      <c r="J30" s="113">
        <f t="shared" si="7"/>
        <v>371988.80000000005</v>
      </c>
      <c r="K30" s="282">
        <f>I30/$I$32</f>
        <v>0.32198191818332039</v>
      </c>
    </row>
    <row r="31" spans="1:20" ht="11.15" customHeight="1">
      <c r="A31" s="398"/>
      <c r="B31" s="398"/>
      <c r="C31" s="137" t="s">
        <v>90</v>
      </c>
      <c r="D31" s="288">
        <f>D25</f>
        <v>15</v>
      </c>
      <c r="E31" s="113">
        <f>E13+E19+E25</f>
        <v>386.06200000000001</v>
      </c>
      <c r="F31" s="113">
        <f t="shared" si="3"/>
        <v>4252.3926099999999</v>
      </c>
      <c r="G31" s="282">
        <f>E31/$E$32</f>
        <v>3.6375268412964473E-3</v>
      </c>
      <c r="H31" s="282">
        <f t="shared" si="4"/>
        <v>-0.14877694923027399</v>
      </c>
      <c r="I31" s="288">
        <f>I13+I19+I25</f>
        <v>453.53800000000001</v>
      </c>
      <c r="J31" s="113">
        <f t="shared" ref="J31" si="8">J13+J19+J25</f>
        <v>4952.2784099999999</v>
      </c>
      <c r="K31" s="282">
        <f>I31/$I$32</f>
        <v>4.2823973750678659E-3</v>
      </c>
    </row>
    <row r="32" spans="1:20" ht="11.15" customHeight="1">
      <c r="A32" s="399"/>
      <c r="B32" s="399"/>
      <c r="C32" s="293" t="s">
        <v>0</v>
      </c>
      <c r="D32" s="296">
        <f>SUM(D27:D31)</f>
        <v>153629</v>
      </c>
      <c r="E32" s="294">
        <f>SUM(E27:E31)</f>
        <v>106133.1</v>
      </c>
      <c r="F32" s="294">
        <f>SUM(F27:F31)</f>
        <v>1168215.1844500001</v>
      </c>
      <c r="G32" s="295">
        <f>SUM(G27:G31)</f>
        <v>0.99999999999999989</v>
      </c>
      <c r="H32" s="295">
        <f>(E32-I32)/I32</f>
        <v>2.1301607534877681E-3</v>
      </c>
      <c r="I32" s="296">
        <f>SUM(I27:I31)</f>
        <v>105907.5</v>
      </c>
      <c r="J32" s="294">
        <f>SUM(J27:J31)</f>
        <v>1155662.2298800002</v>
      </c>
      <c r="K32" s="295">
        <f>SUM(K27:K31)</f>
        <v>1</v>
      </c>
    </row>
    <row r="33" spans="1:11" ht="10" customHeight="1">
      <c r="A33" s="332"/>
      <c r="B33" s="333"/>
      <c r="C33" s="334"/>
      <c r="D33" s="335"/>
      <c r="E33" s="335"/>
      <c r="F33" s="335"/>
      <c r="G33" s="336"/>
      <c r="H33" s="337"/>
      <c r="I33" s="335"/>
      <c r="J33" s="335"/>
      <c r="K33" s="336"/>
    </row>
    <row r="34" spans="1:11" ht="13" customHeight="1">
      <c r="A34" s="492" t="s">
        <v>87</v>
      </c>
      <c r="B34" s="492"/>
      <c r="C34" s="492"/>
      <c r="D34" s="457">
        <f>D4</f>
        <v>2025</v>
      </c>
      <c r="E34" s="328"/>
      <c r="F34" s="317"/>
      <c r="G34" s="317"/>
      <c r="H34" s="317"/>
      <c r="I34" s="457">
        <f>D34-1</f>
        <v>2024</v>
      </c>
      <c r="J34" s="458"/>
      <c r="K34" s="458"/>
    </row>
    <row r="35" spans="1:11" ht="25" customHeight="1">
      <c r="A35" s="279"/>
      <c r="B35" s="253"/>
      <c r="C35" s="133"/>
      <c r="D35" s="459"/>
      <c r="E35" s="329"/>
      <c r="F35" s="330"/>
      <c r="G35" s="330"/>
      <c r="H35" s="331"/>
      <c r="I35" s="459"/>
      <c r="J35" s="460"/>
      <c r="K35" s="460"/>
    </row>
    <row r="36" spans="1:11" ht="25" customHeight="1">
      <c r="A36" s="114"/>
      <c r="B36" s="115"/>
      <c r="C36" s="327"/>
      <c r="D36" s="338" t="s">
        <v>156</v>
      </c>
      <c r="E36" s="455" t="s">
        <v>59</v>
      </c>
      <c r="F36" s="455"/>
      <c r="G36" s="456" t="s">
        <v>32</v>
      </c>
      <c r="H36" s="456" t="s">
        <v>256</v>
      </c>
      <c r="I36" s="453" t="s">
        <v>59</v>
      </c>
      <c r="J36" s="454"/>
      <c r="K36" s="456" t="s">
        <v>32</v>
      </c>
    </row>
    <row r="37" spans="1:11" ht="25" customHeight="1">
      <c r="A37" s="114"/>
      <c r="B37" s="281"/>
      <c r="C37" s="281"/>
      <c r="D37" s="339"/>
      <c r="E37" s="455"/>
      <c r="F37" s="455"/>
      <c r="G37" s="456"/>
      <c r="H37" s="456"/>
      <c r="I37" s="453"/>
      <c r="J37" s="454"/>
      <c r="K37" s="456"/>
    </row>
    <row r="38" spans="1:11" ht="15" customHeight="1">
      <c r="A38" s="493" t="s">
        <v>155</v>
      </c>
      <c r="B38" s="493"/>
      <c r="C38" s="340" t="s">
        <v>180</v>
      </c>
      <c r="D38" s="318"/>
      <c r="E38" s="201" t="s">
        <v>247</v>
      </c>
      <c r="F38" s="201" t="s">
        <v>248</v>
      </c>
      <c r="G38" s="442"/>
      <c r="H38" s="442"/>
      <c r="I38" s="203" t="s">
        <v>247</v>
      </c>
      <c r="J38" s="201" t="s">
        <v>248</v>
      </c>
      <c r="K38" s="442"/>
    </row>
    <row r="39" spans="1:11" ht="11.15" customHeight="1">
      <c r="A39" s="397" t="str">
        <f>'3.1'!D5</f>
        <v>Říjen</v>
      </c>
      <c r="B39" s="397"/>
      <c r="C39" s="147" t="s">
        <v>4</v>
      </c>
      <c r="D39" s="287">
        <v>113</v>
      </c>
      <c r="E39" s="283">
        <v>10731.355757043</v>
      </c>
      <c r="F39" s="283">
        <v>118815.5386</v>
      </c>
      <c r="G39" s="284">
        <f>E39/$E$44</f>
        <v>0.20110103067082358</v>
      </c>
      <c r="H39" s="284">
        <f>(E39-I39)/I39</f>
        <v>-0.10398719674197038</v>
      </c>
      <c r="I39" s="287">
        <v>11976.788409744</v>
      </c>
      <c r="J39" s="283">
        <v>131147.69216999999</v>
      </c>
      <c r="K39" s="284">
        <f>I39/$I$44</f>
        <v>0.22900252660273021</v>
      </c>
    </row>
    <row r="40" spans="1:11" ht="11.15" customHeight="1">
      <c r="A40" s="398"/>
      <c r="B40" s="398"/>
      <c r="C40" s="137" t="s">
        <v>5</v>
      </c>
      <c r="D40" s="288">
        <v>1241</v>
      </c>
      <c r="E40" s="113">
        <v>10672.686835355</v>
      </c>
      <c r="F40" s="113">
        <v>118165.96741</v>
      </c>
      <c r="G40" s="282">
        <f t="shared" ref="G40" si="9">E40/$E$44</f>
        <v>0.20000160009681997</v>
      </c>
      <c r="H40" s="282">
        <f>(E40-I40)/I40</f>
        <v>7.3786653395209192E-2</v>
      </c>
      <c r="I40" s="288">
        <v>9939.2992095860009</v>
      </c>
      <c r="J40" s="113">
        <v>108836.76347000001</v>
      </c>
      <c r="K40" s="282">
        <f t="shared" ref="K40:K43" si="10">I40/$I$44</f>
        <v>0.19004465586149275</v>
      </c>
    </row>
    <row r="41" spans="1:11" ht="11.15" customHeight="1">
      <c r="A41" s="398"/>
      <c r="B41" s="398"/>
      <c r="C41" s="137" t="s">
        <v>6</v>
      </c>
      <c r="D41" s="288">
        <v>35027</v>
      </c>
      <c r="E41" s="113">
        <v>14447.17747977</v>
      </c>
      <c r="F41" s="113">
        <v>159956.41299861899</v>
      </c>
      <c r="G41" s="282">
        <f>E41/$E$44</f>
        <v>0.27073394520159105</v>
      </c>
      <c r="H41" s="282">
        <f t="shared" ref="H41:H43" si="11">(E41-I41)/I41</f>
        <v>0.11672172775258494</v>
      </c>
      <c r="I41" s="288">
        <v>12937.132967624</v>
      </c>
      <c r="J41" s="113">
        <v>141663.476577831</v>
      </c>
      <c r="K41" s="282">
        <f t="shared" si="10"/>
        <v>0.24736482229000975</v>
      </c>
    </row>
    <row r="42" spans="1:11" ht="11.15" customHeight="1">
      <c r="A42" s="398"/>
      <c r="B42" s="398"/>
      <c r="C42" s="137" t="s">
        <v>7</v>
      </c>
      <c r="D42" s="288">
        <v>333244</v>
      </c>
      <c r="E42" s="113">
        <v>16624.750157899001</v>
      </c>
      <c r="F42" s="113">
        <v>184066.08529448399</v>
      </c>
      <c r="G42" s="282">
        <f>E42/$E$44</f>
        <v>0.31154072859845733</v>
      </c>
      <c r="H42" s="282">
        <f t="shared" si="11"/>
        <v>2.5048112306872736E-2</v>
      </c>
      <c r="I42" s="288">
        <v>16218.507168882999</v>
      </c>
      <c r="J42" s="113">
        <v>177594.998536092</v>
      </c>
      <c r="K42" s="282">
        <f t="shared" si="10"/>
        <v>0.31010643190264781</v>
      </c>
    </row>
    <row r="43" spans="1:11" ht="11.15" customHeight="1">
      <c r="A43" s="398"/>
      <c r="B43" s="398"/>
      <c r="C43" s="137" t="s">
        <v>90</v>
      </c>
      <c r="D43" s="288">
        <v>32</v>
      </c>
      <c r="E43" s="113">
        <v>887.03701681699999</v>
      </c>
      <c r="F43" s="113">
        <v>9821.1058599999997</v>
      </c>
      <c r="G43" s="282">
        <f>E43/$E$44</f>
        <v>1.662269543230805E-2</v>
      </c>
      <c r="H43" s="282">
        <f t="shared" si="11"/>
        <v>-0.277704959583297</v>
      </c>
      <c r="I43" s="288">
        <v>1228.081278677</v>
      </c>
      <c r="J43" s="113">
        <v>13447.66757</v>
      </c>
      <c r="K43" s="282">
        <f t="shared" si="10"/>
        <v>2.3481563343119616E-2</v>
      </c>
    </row>
    <row r="44" spans="1:11" ht="11.15" customHeight="1">
      <c r="A44" s="399"/>
      <c r="B44" s="399"/>
      <c r="C44" s="293" t="s">
        <v>0</v>
      </c>
      <c r="D44" s="296">
        <v>369657</v>
      </c>
      <c r="E44" s="294">
        <v>53363.007246884001</v>
      </c>
      <c r="F44" s="294">
        <v>590825.11016310309</v>
      </c>
      <c r="G44" s="295">
        <f>SUM(G39:G43)</f>
        <v>1</v>
      </c>
      <c r="H44" s="295">
        <f>(E44-I44)/I44</f>
        <v>2.0328911940546004E-2</v>
      </c>
      <c r="I44" s="296">
        <v>52299.809034513994</v>
      </c>
      <c r="J44" s="294">
        <v>572690.59832392307</v>
      </c>
      <c r="K44" s="295">
        <f>SUM(K39:K43)</f>
        <v>1</v>
      </c>
    </row>
    <row r="45" spans="1:11" ht="11.15" customHeight="1">
      <c r="A45" s="397" t="str">
        <f>'3.1'!E5</f>
        <v>Listopad</v>
      </c>
      <c r="B45" s="397"/>
      <c r="C45" s="147" t="s">
        <v>4</v>
      </c>
      <c r="D45" s="287">
        <v>113</v>
      </c>
      <c r="E45" s="283">
        <v>15048.860193312999</v>
      </c>
      <c r="F45" s="283">
        <v>165891.12062999999</v>
      </c>
      <c r="G45" s="284">
        <f>E45/$E$50</f>
        <v>0.1820290454067057</v>
      </c>
      <c r="H45" s="284">
        <f>(E45-I45)/I45</f>
        <v>-0.19771423139652608</v>
      </c>
      <c r="I45" s="287">
        <v>18757.481164732999</v>
      </c>
      <c r="J45" s="283">
        <v>204831.49749000001</v>
      </c>
      <c r="K45" s="284">
        <f>I45/$I$50</f>
        <v>0.19937746399457507</v>
      </c>
    </row>
    <row r="46" spans="1:11" ht="11.15" customHeight="1">
      <c r="A46" s="398"/>
      <c r="B46" s="398"/>
      <c r="C46" s="137" t="s">
        <v>5</v>
      </c>
      <c r="D46" s="288">
        <v>1239</v>
      </c>
      <c r="E46" s="113">
        <v>16121.831042536</v>
      </c>
      <c r="F46" s="113">
        <v>177719.01551999999</v>
      </c>
      <c r="G46" s="282">
        <f t="shared" ref="G46:G49" si="12">E46/$E$50</f>
        <v>0.1950075605184397</v>
      </c>
      <c r="H46" s="282">
        <f>(E46-I46)/I46</f>
        <v>-0.10271967998992299</v>
      </c>
      <c r="I46" s="288">
        <v>17967.440813095</v>
      </c>
      <c r="J46" s="113">
        <v>196204.24033999999</v>
      </c>
      <c r="K46" s="282">
        <f t="shared" ref="K46:K49" si="13">I46/$I$50</f>
        <v>0.1909799483377756</v>
      </c>
    </row>
    <row r="47" spans="1:11" ht="11.15" customHeight="1">
      <c r="A47" s="398"/>
      <c r="B47" s="398"/>
      <c r="C47" s="137" t="s">
        <v>6</v>
      </c>
      <c r="D47" s="288">
        <v>35035</v>
      </c>
      <c r="E47" s="113">
        <v>23742.862421990001</v>
      </c>
      <c r="F47" s="113">
        <v>261729.46014196699</v>
      </c>
      <c r="G47" s="282">
        <f t="shared" si="12"/>
        <v>0.28719055970883617</v>
      </c>
      <c r="H47" s="282">
        <f t="shared" ref="H47:H49" si="14">(E47-I47)/I47</f>
        <v>-5.7459520416795723E-2</v>
      </c>
      <c r="I47" s="288">
        <v>25190.284063438001</v>
      </c>
      <c r="J47" s="113">
        <v>275077.60287227301</v>
      </c>
      <c r="K47" s="282">
        <f t="shared" si="13"/>
        <v>0.26775316524449344</v>
      </c>
    </row>
    <row r="48" spans="1:11" ht="11.15" customHeight="1">
      <c r="A48" s="398"/>
      <c r="B48" s="398"/>
      <c r="C48" s="137" t="s">
        <v>7</v>
      </c>
      <c r="D48" s="288">
        <v>333349</v>
      </c>
      <c r="E48" s="113">
        <v>26890.352193437</v>
      </c>
      <c r="F48" s="113">
        <v>296425.81578946899</v>
      </c>
      <c r="G48" s="282">
        <f t="shared" si="12"/>
        <v>0.32526218448068783</v>
      </c>
      <c r="H48" s="282">
        <f t="shared" si="14"/>
        <v>-0.13039473883288721</v>
      </c>
      <c r="I48" s="288">
        <v>30922.481031619998</v>
      </c>
      <c r="J48" s="113">
        <v>337673.12570275302</v>
      </c>
      <c r="K48" s="282">
        <f t="shared" si="13"/>
        <v>0.32868196930920418</v>
      </c>
    </row>
    <row r="49" spans="1:11" ht="11.15" customHeight="1">
      <c r="A49" s="398"/>
      <c r="B49" s="398"/>
      <c r="C49" s="137" t="s">
        <v>90</v>
      </c>
      <c r="D49" s="288">
        <v>32</v>
      </c>
      <c r="E49" s="113">
        <v>868.94539446600004</v>
      </c>
      <c r="F49" s="113">
        <v>9578.8201499999996</v>
      </c>
      <c r="G49" s="282">
        <f t="shared" si="12"/>
        <v>1.0510649885330455E-2</v>
      </c>
      <c r="H49" s="282">
        <f t="shared" si="14"/>
        <v>-0.30068159764750269</v>
      </c>
      <c r="I49" s="288">
        <v>1242.5604582159999</v>
      </c>
      <c r="J49" s="113">
        <v>13568.74545</v>
      </c>
      <c r="K49" s="282">
        <f t="shared" si="13"/>
        <v>1.3207453113951701E-2</v>
      </c>
    </row>
    <row r="50" spans="1:11" ht="11.15" customHeight="1">
      <c r="A50" s="399"/>
      <c r="B50" s="399"/>
      <c r="C50" s="293" t="s">
        <v>0</v>
      </c>
      <c r="D50" s="296">
        <v>369768</v>
      </c>
      <c r="E50" s="294">
        <v>82672.851245742015</v>
      </c>
      <c r="F50" s="294">
        <v>911344.23223143606</v>
      </c>
      <c r="G50" s="295">
        <f>SUM(G45:G49)</f>
        <v>0.99999999999999978</v>
      </c>
      <c r="H50" s="295">
        <f t="shared" ref="H50" si="15">(E50-I50)/I50</f>
        <v>-0.12125176734456197</v>
      </c>
      <c r="I50" s="296">
        <v>94080.247531101995</v>
      </c>
      <c r="J50" s="294">
        <v>1027355.211855026</v>
      </c>
      <c r="K50" s="295">
        <f>SUM(K45:K49)</f>
        <v>1</v>
      </c>
    </row>
    <row r="51" spans="1:11" ht="11.15" customHeight="1">
      <c r="A51" s="397" t="str">
        <f>'3.1'!F5</f>
        <v>Prosinec</v>
      </c>
      <c r="B51" s="397"/>
      <c r="C51" s="147" t="s">
        <v>4</v>
      </c>
      <c r="D51" s="287">
        <v>114</v>
      </c>
      <c r="E51" s="283">
        <v>17314.090626933001</v>
      </c>
      <c r="F51" s="283">
        <v>190455.08343</v>
      </c>
      <c r="G51" s="284">
        <f>E51/$E$56</f>
        <v>0.17614609654121202</v>
      </c>
      <c r="H51" s="284">
        <f>(E51-I51)/I51</f>
        <v>-0.1660989491176757</v>
      </c>
      <c r="I51" s="287">
        <v>20762.763889808641</v>
      </c>
      <c r="J51" s="283">
        <v>225891.91294000001</v>
      </c>
      <c r="K51" s="284">
        <f>I51/$I$56</f>
        <v>0.18629825666309607</v>
      </c>
    </row>
    <row r="52" spans="1:11" ht="11.15" customHeight="1">
      <c r="A52" s="398"/>
      <c r="B52" s="398"/>
      <c r="C52" s="137" t="s">
        <v>5</v>
      </c>
      <c r="D52" s="288">
        <v>1243</v>
      </c>
      <c r="E52" s="113">
        <v>19397.586000292002</v>
      </c>
      <c r="F52" s="113">
        <v>213373.54295</v>
      </c>
      <c r="G52" s="282">
        <f t="shared" ref="G52:G55" si="16">E52/$E$56</f>
        <v>0.19734268058865689</v>
      </c>
      <c r="H52" s="282">
        <f t="shared" ref="H52:H55" si="17">(E52-I52)/I52</f>
        <v>-7.4740737597087839E-2</v>
      </c>
      <c r="I52" s="288">
        <v>20964.487239950649</v>
      </c>
      <c r="J52" s="113">
        <v>228358.16091000001</v>
      </c>
      <c r="K52" s="282">
        <f t="shared" ref="K52:K55" si="18">I52/$I$56</f>
        <v>0.18810826175967871</v>
      </c>
    </row>
    <row r="53" spans="1:11" ht="11.15" customHeight="1">
      <c r="A53" s="398"/>
      <c r="B53" s="398"/>
      <c r="C53" s="137" t="s">
        <v>6</v>
      </c>
      <c r="D53" s="288">
        <v>34983</v>
      </c>
      <c r="E53" s="113">
        <v>28566.693620816</v>
      </c>
      <c r="F53" s="113">
        <v>314233.77260185598</v>
      </c>
      <c r="G53" s="282">
        <f t="shared" si="16"/>
        <v>0.29062523009831487</v>
      </c>
      <c r="H53" s="282">
        <f t="shared" si="17"/>
        <v>-6.8530126030927077E-2</v>
      </c>
      <c r="I53" s="288">
        <v>30668.403154136238</v>
      </c>
      <c r="J53" s="113">
        <v>334226.617866733</v>
      </c>
      <c r="K53" s="282">
        <f t="shared" si="18"/>
        <v>0.27517868394491657</v>
      </c>
    </row>
    <row r="54" spans="1:11" ht="11.15" customHeight="1">
      <c r="A54" s="398"/>
      <c r="B54" s="398"/>
      <c r="C54" s="137" t="s">
        <v>7</v>
      </c>
      <c r="D54" s="288">
        <v>332595</v>
      </c>
      <c r="E54" s="113">
        <v>32161.737157992</v>
      </c>
      <c r="F54" s="113">
        <v>353779.269478384</v>
      </c>
      <c r="G54" s="282">
        <f t="shared" si="16"/>
        <v>0.32719965376363896</v>
      </c>
      <c r="H54" s="282">
        <f t="shared" si="17"/>
        <v>-0.14911606662788232</v>
      </c>
      <c r="I54" s="288">
        <v>37798.030843681103</v>
      </c>
      <c r="J54" s="113">
        <v>411844.22603040101</v>
      </c>
      <c r="K54" s="282">
        <f t="shared" si="18"/>
        <v>0.33915076474631256</v>
      </c>
    </row>
    <row r="55" spans="1:11" ht="11.15" customHeight="1">
      <c r="A55" s="398"/>
      <c r="B55" s="398"/>
      <c r="C55" s="137" t="s">
        <v>90</v>
      </c>
      <c r="D55" s="288">
        <v>31</v>
      </c>
      <c r="E55" s="113">
        <v>853.81432661300005</v>
      </c>
      <c r="F55" s="113">
        <v>9391.9618599999994</v>
      </c>
      <c r="G55" s="282">
        <f t="shared" si="16"/>
        <v>8.686339008177205E-3</v>
      </c>
      <c r="H55" s="282">
        <f t="shared" si="17"/>
        <v>-0.31986808627874874</v>
      </c>
      <c r="I55" s="288">
        <v>1255.3657744737613</v>
      </c>
      <c r="J55" s="113">
        <v>13554.251689999999</v>
      </c>
      <c r="K55" s="282">
        <f t="shared" si="18"/>
        <v>1.1264032885996212E-2</v>
      </c>
    </row>
    <row r="56" spans="1:11" ht="11.15" customHeight="1">
      <c r="A56" s="399"/>
      <c r="B56" s="399"/>
      <c r="C56" s="293" t="s">
        <v>0</v>
      </c>
      <c r="D56" s="296">
        <v>368966</v>
      </c>
      <c r="E56" s="294">
        <v>98293.921732646006</v>
      </c>
      <c r="F56" s="294">
        <v>1081233.6303202398</v>
      </c>
      <c r="G56" s="295">
        <f>SUM(G51:G55)</f>
        <v>0.99999999999999989</v>
      </c>
      <c r="H56" s="295">
        <f t="shared" ref="H56" si="19">(E56-I56)/I56</f>
        <v>-0.11803715745382229</v>
      </c>
      <c r="I56" s="296">
        <v>111449.05090205038</v>
      </c>
      <c r="J56" s="294">
        <v>1213875.1694371342</v>
      </c>
      <c r="K56" s="295">
        <f>SUM(K51:K55)</f>
        <v>1.0000000000000002</v>
      </c>
    </row>
    <row r="57" spans="1:11" ht="11.15" customHeight="1">
      <c r="A57" s="467" t="str">
        <f>'3.1'!G5</f>
        <v>IV. čtvrtletí</v>
      </c>
      <c r="B57" s="397"/>
      <c r="C57" s="147" t="s">
        <v>4</v>
      </c>
      <c r="D57" s="287">
        <f>D51</f>
        <v>114</v>
      </c>
      <c r="E57" s="283">
        <f>E39+E45+E51</f>
        <v>43094.306577288997</v>
      </c>
      <c r="F57" s="283">
        <f>F39+F45+F51</f>
        <v>475161.74265999999</v>
      </c>
      <c r="G57" s="284">
        <f>E57/$E$62</f>
        <v>0.18390452351323189</v>
      </c>
      <c r="H57" s="284">
        <f>(E57-I57)/I57</f>
        <v>-0.16316914435127849</v>
      </c>
      <c r="I57" s="287">
        <f>I39+I45+I51</f>
        <v>51497.03346428564</v>
      </c>
      <c r="J57" s="283">
        <f>J39+J45+J51</f>
        <v>561871.1026000001</v>
      </c>
      <c r="K57" s="284">
        <f>I57/$I$62</f>
        <v>0.19973320301216857</v>
      </c>
    </row>
    <row r="58" spans="1:11" ht="11.15" customHeight="1">
      <c r="A58" s="398"/>
      <c r="B58" s="398"/>
      <c r="C58" s="137" t="s">
        <v>5</v>
      </c>
      <c r="D58" s="288">
        <f>D52</f>
        <v>1243</v>
      </c>
      <c r="E58" s="113">
        <f t="shared" ref="E58:F59" si="20">E40+E46+E52</f>
        <v>46192.103878182999</v>
      </c>
      <c r="F58" s="113">
        <f t="shared" si="20"/>
        <v>509258.52587999997</v>
      </c>
      <c r="G58" s="282">
        <f t="shared" ref="G58:G61" si="21">E58/$E$62</f>
        <v>0.19712434259860784</v>
      </c>
      <c r="H58" s="282">
        <f t="shared" ref="H58:H61" si="22">(E58-I58)/I58</f>
        <v>-5.4820055368185606E-2</v>
      </c>
      <c r="I58" s="288">
        <f t="shared" ref="I58:J58" si="23">I40+I46+I52</f>
        <v>48871.227262631648</v>
      </c>
      <c r="J58" s="113">
        <f t="shared" si="23"/>
        <v>533399.16472</v>
      </c>
      <c r="K58" s="282">
        <f t="shared" ref="K58:K61" si="24">I58/$I$62</f>
        <v>0.18954891378492031</v>
      </c>
    </row>
    <row r="59" spans="1:11" ht="11.15" customHeight="1">
      <c r="A59" s="398"/>
      <c r="B59" s="398"/>
      <c r="C59" s="137" t="s">
        <v>6</v>
      </c>
      <c r="D59" s="288">
        <f>D53</f>
        <v>34983</v>
      </c>
      <c r="E59" s="113">
        <f>E41+E47+E53</f>
        <v>66756.733522576003</v>
      </c>
      <c r="F59" s="113">
        <f t="shared" si="20"/>
        <v>735919.64574244199</v>
      </c>
      <c r="G59" s="282">
        <f t="shared" si="21"/>
        <v>0.28488369450267775</v>
      </c>
      <c r="H59" s="282">
        <f t="shared" si="22"/>
        <v>-2.9639688241713279E-2</v>
      </c>
      <c r="I59" s="288">
        <f>I41+I47+I53</f>
        <v>68795.820185198245</v>
      </c>
      <c r="J59" s="113">
        <f t="shared" ref="J59" si="25">J41+J47+J53</f>
        <v>750967.69731683703</v>
      </c>
      <c r="K59" s="282">
        <f t="shared" si="24"/>
        <v>0.26682720527908482</v>
      </c>
    </row>
    <row r="60" spans="1:11" ht="11.15" customHeight="1">
      <c r="A60" s="398"/>
      <c r="B60" s="398"/>
      <c r="C60" s="137" t="s">
        <v>7</v>
      </c>
      <c r="D60" s="288">
        <f>D54</f>
        <v>332595</v>
      </c>
      <c r="E60" s="113">
        <f t="shared" ref="E60:F61" si="26">E42+E48+E54</f>
        <v>75676.839509327998</v>
      </c>
      <c r="F60" s="113">
        <f t="shared" si="26"/>
        <v>834271.17056233692</v>
      </c>
      <c r="G60" s="282">
        <f t="shared" si="21"/>
        <v>0.32295015783557846</v>
      </c>
      <c r="H60" s="282">
        <f t="shared" si="22"/>
        <v>-0.10904504948471376</v>
      </c>
      <c r="I60" s="288">
        <f t="shared" ref="I60:J60" si="27">I42+I48+I54</f>
        <v>84939.019044184097</v>
      </c>
      <c r="J60" s="113">
        <f t="shared" si="27"/>
        <v>927112.35026924603</v>
      </c>
      <c r="K60" s="282">
        <f t="shared" si="24"/>
        <v>0.32943921607003218</v>
      </c>
    </row>
    <row r="61" spans="1:11" ht="11.15" customHeight="1">
      <c r="A61" s="398"/>
      <c r="B61" s="398"/>
      <c r="C61" s="137" t="s">
        <v>90</v>
      </c>
      <c r="D61" s="288">
        <f>D55</f>
        <v>31</v>
      </c>
      <c r="E61" s="113">
        <f>E43+E49+E55</f>
        <v>2609.7967378960002</v>
      </c>
      <c r="F61" s="113">
        <f t="shared" si="26"/>
        <v>28791.887869999999</v>
      </c>
      <c r="G61" s="282">
        <f t="shared" si="21"/>
        <v>1.1137281549904081E-2</v>
      </c>
      <c r="H61" s="282">
        <f t="shared" si="22"/>
        <v>-0.29957287258965193</v>
      </c>
      <c r="I61" s="288">
        <f>I43+I49+I55</f>
        <v>3726.0075113667608</v>
      </c>
      <c r="J61" s="113">
        <f t="shared" ref="J61" si="28">J43+J49+J55</f>
        <v>40570.664709999997</v>
      </c>
      <c r="K61" s="282">
        <f t="shared" si="24"/>
        <v>1.4451461853794102E-2</v>
      </c>
    </row>
    <row r="62" spans="1:11" ht="11.15" customHeight="1">
      <c r="A62" s="399"/>
      <c r="B62" s="399"/>
      <c r="C62" s="293" t="s">
        <v>0</v>
      </c>
      <c r="D62" s="296">
        <f>SUM(D57:D61)</f>
        <v>368966</v>
      </c>
      <c r="E62" s="294">
        <f>SUM(E57:E61)</f>
        <v>234329.780225272</v>
      </c>
      <c r="F62" s="294">
        <f>SUM(F57:F61)</f>
        <v>2583402.9727147794</v>
      </c>
      <c r="G62" s="295">
        <f>SUM(G57:G61)</f>
        <v>1</v>
      </c>
      <c r="H62" s="295">
        <f>(E62-I62)/I62</f>
        <v>-9.1143034520807034E-2</v>
      </c>
      <c r="I62" s="296">
        <f>SUM(I57:I61)</f>
        <v>257829.10746766638</v>
      </c>
      <c r="J62" s="294">
        <f>SUM(J57:J61)</f>
        <v>2813920.9796160832</v>
      </c>
      <c r="K62" s="295">
        <f>SUM(K57:K61)</f>
        <v>1</v>
      </c>
    </row>
    <row r="63" spans="1:11" ht="15" customHeight="1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1" ht="15" customHeight="1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I34:K35"/>
    <mergeCell ref="A51:B56"/>
    <mergeCell ref="I36:J37"/>
    <mergeCell ref="K36:K38"/>
    <mergeCell ref="A57:B62"/>
    <mergeCell ref="A39:B44"/>
    <mergeCell ref="A45:B50"/>
    <mergeCell ref="A27:B32"/>
    <mergeCell ref="H36:H38"/>
    <mergeCell ref="A38:B38"/>
    <mergeCell ref="E36:F37"/>
    <mergeCell ref="G36:G38"/>
    <mergeCell ref="A34:C34"/>
    <mergeCell ref="D34:D35"/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8"/>
  <dimension ref="A1:T120"/>
  <sheetViews>
    <sheetView showGridLines="0" topLeftCell="A18" zoomScaleNormal="100" zoomScaleSheetLayoutView="100" workbookViewId="0">
      <selection activeCell="G1" sqref="G1"/>
    </sheetView>
  </sheetViews>
  <sheetFormatPr defaultColWidth="9.1796875" defaultRowHeight="12.5"/>
  <cols>
    <col min="1" max="1" width="9.453125" style="67" customWidth="1"/>
    <col min="2" max="2" width="3.81640625" style="67" customWidth="1"/>
    <col min="3" max="11" width="9.54296875" style="67" customWidth="1"/>
    <col min="12" max="13" width="9.1796875" style="67"/>
    <col min="14" max="14" width="11.1796875" style="67" customWidth="1"/>
    <col min="15" max="16384" width="9.1796875" style="67"/>
  </cols>
  <sheetData>
    <row r="1" spans="1:16" s="91" customFormat="1" ht="18">
      <c r="A1" s="471" t="s">
        <v>292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</row>
    <row r="2" spans="1:16" s="91" customFormat="1" ht="3" customHeight="1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6" ht="3" customHeight="1">
      <c r="A3" s="491"/>
      <c r="B3" s="491"/>
      <c r="C3" s="491"/>
      <c r="D3" s="275"/>
      <c r="E3" s="275"/>
      <c r="F3" s="276"/>
      <c r="G3" s="277"/>
      <c r="H3" s="277"/>
      <c r="I3" s="277"/>
    </row>
    <row r="4" spans="1:16" ht="13" customHeight="1">
      <c r="A4" s="463" t="s">
        <v>43</v>
      </c>
      <c r="B4" s="463"/>
      <c r="C4" s="463"/>
      <c r="D4" s="457">
        <f>'3.1'!A4</f>
        <v>2025</v>
      </c>
      <c r="E4" s="328"/>
      <c r="F4" s="317"/>
      <c r="G4" s="317"/>
      <c r="H4" s="317"/>
      <c r="I4" s="457">
        <f>D4-1</f>
        <v>2024</v>
      </c>
      <c r="J4" s="458"/>
      <c r="K4" s="458"/>
    </row>
    <row r="5" spans="1:16" ht="25" customHeight="1">
      <c r="A5" s="133"/>
      <c r="B5" s="133"/>
      <c r="C5" s="133"/>
      <c r="D5" s="459"/>
      <c r="E5" s="329"/>
      <c r="F5" s="330"/>
      <c r="G5" s="330"/>
      <c r="H5" s="331"/>
      <c r="I5" s="459"/>
      <c r="J5" s="460"/>
      <c r="K5" s="460"/>
    </row>
    <row r="6" spans="1:16" ht="25" customHeight="1">
      <c r="A6" s="279"/>
      <c r="B6" s="253"/>
      <c r="C6" s="280"/>
      <c r="D6" s="338" t="s">
        <v>156</v>
      </c>
      <c r="E6" s="455" t="s">
        <v>59</v>
      </c>
      <c r="F6" s="455"/>
      <c r="G6" s="456" t="s">
        <v>32</v>
      </c>
      <c r="H6" s="456" t="s">
        <v>256</v>
      </c>
      <c r="I6" s="453" t="s">
        <v>59</v>
      </c>
      <c r="J6" s="454"/>
      <c r="K6" s="456" t="s">
        <v>32</v>
      </c>
    </row>
    <row r="7" spans="1:16" ht="25" customHeight="1">
      <c r="A7" s="279"/>
      <c r="B7" s="281"/>
      <c r="D7" s="339"/>
      <c r="E7" s="455"/>
      <c r="F7" s="455"/>
      <c r="G7" s="456"/>
      <c r="H7" s="456"/>
      <c r="I7" s="453"/>
      <c r="J7" s="454"/>
      <c r="K7" s="456"/>
    </row>
    <row r="8" spans="1:16" ht="15" customHeight="1">
      <c r="A8" s="464" t="s">
        <v>155</v>
      </c>
      <c r="B8" s="464"/>
      <c r="C8" s="298" t="s">
        <v>180</v>
      </c>
      <c r="D8" s="318"/>
      <c r="E8" s="201" t="s">
        <v>247</v>
      </c>
      <c r="F8" s="201" t="s">
        <v>248</v>
      </c>
      <c r="G8" s="442"/>
      <c r="H8" s="442"/>
      <c r="I8" s="203" t="s">
        <v>247</v>
      </c>
      <c r="J8" s="201" t="s">
        <v>248</v>
      </c>
      <c r="K8" s="442"/>
    </row>
    <row r="9" spans="1:16" ht="11.15" customHeight="1">
      <c r="A9" s="397" t="str">
        <f>'3.1'!D5</f>
        <v>Říjen</v>
      </c>
      <c r="B9" s="397"/>
      <c r="C9" s="147" t="s">
        <v>4</v>
      </c>
      <c r="D9" s="287">
        <v>186</v>
      </c>
      <c r="E9" s="283">
        <v>48623.573666317992</v>
      </c>
      <c r="F9" s="283">
        <v>537274.73622700002</v>
      </c>
      <c r="G9" s="284">
        <f>E9/$E$14</f>
        <v>0.55135065354575674</v>
      </c>
      <c r="H9" s="284">
        <f>(E9-I9)/I9</f>
        <v>-3.7664346194064321E-2</v>
      </c>
      <c r="I9" s="287">
        <v>50526.626000000004</v>
      </c>
      <c r="J9" s="283">
        <v>553294.00873699994</v>
      </c>
      <c r="K9" s="284">
        <f>I9/$I$14</f>
        <v>0.63296731440680198</v>
      </c>
    </row>
    <row r="10" spans="1:16" ht="11.15" customHeight="1">
      <c r="A10" s="398"/>
      <c r="B10" s="398"/>
      <c r="C10" s="137" t="s">
        <v>5</v>
      </c>
      <c r="D10" s="288">
        <v>653</v>
      </c>
      <c r="E10" s="113">
        <v>6553.3034718909994</v>
      </c>
      <c r="F10" s="113">
        <v>72423.339780000009</v>
      </c>
      <c r="G10" s="282">
        <f>E10/$E$14</f>
        <v>7.4308979774015557E-2</v>
      </c>
      <c r="H10" s="282">
        <f>(E10-I10)/I10</f>
        <v>0.22853324682776385</v>
      </c>
      <c r="I10" s="288">
        <v>5334.25</v>
      </c>
      <c r="J10" s="113">
        <v>58412.315309999998</v>
      </c>
      <c r="K10" s="282">
        <f>I10/$I$14</f>
        <v>6.6824289769011752E-2</v>
      </c>
      <c r="L10" s="68"/>
      <c r="N10" s="68"/>
      <c r="O10" s="68"/>
      <c r="P10" s="68"/>
    </row>
    <row r="11" spans="1:16" ht="11.15" customHeight="1">
      <c r="A11" s="398"/>
      <c r="B11" s="398"/>
      <c r="C11" s="137" t="s">
        <v>6</v>
      </c>
      <c r="D11" s="288">
        <v>21005</v>
      </c>
      <c r="E11" s="113">
        <v>9967.0972590000001</v>
      </c>
      <c r="F11" s="113">
        <v>110152.836280605</v>
      </c>
      <c r="G11" s="282">
        <f>E11/$E$14</f>
        <v>0.11301854580693772</v>
      </c>
      <c r="H11" s="282">
        <f t="shared" ref="H11:H13" si="0">(E11-I11)/I11</f>
        <v>0.34168334845466292</v>
      </c>
      <c r="I11" s="288">
        <v>7428.8</v>
      </c>
      <c r="J11" s="113">
        <v>81349</v>
      </c>
      <c r="K11" s="282">
        <f>I11/$I$14</f>
        <v>9.3063557920238932E-2</v>
      </c>
      <c r="L11" s="68"/>
      <c r="N11" s="68"/>
      <c r="O11" s="68"/>
      <c r="P11" s="68"/>
    </row>
    <row r="12" spans="1:16" ht="11.15" customHeight="1">
      <c r="A12" s="398"/>
      <c r="B12" s="398"/>
      <c r="C12" s="137" t="s">
        <v>7</v>
      </c>
      <c r="D12" s="288">
        <v>253386</v>
      </c>
      <c r="E12" s="113">
        <v>21848.288560812001</v>
      </c>
      <c r="F12" s="113">
        <v>241458.910516445</v>
      </c>
      <c r="G12" s="282">
        <f>E12/$E$14</f>
        <v>0.24774131699012497</v>
      </c>
      <c r="H12" s="282">
        <f t="shared" si="0"/>
        <v>0.40099831743991604</v>
      </c>
      <c r="I12" s="288">
        <v>15594.8</v>
      </c>
      <c r="J12" s="113">
        <v>170771.3</v>
      </c>
      <c r="K12" s="282">
        <f>I12/$I$14</f>
        <v>0.19536231599377316</v>
      </c>
      <c r="L12" s="68"/>
      <c r="N12" s="68"/>
      <c r="O12" s="68"/>
      <c r="P12" s="68"/>
    </row>
    <row r="13" spans="1:16" ht="11.15" customHeight="1">
      <c r="A13" s="398"/>
      <c r="B13" s="398"/>
      <c r="C13" s="137" t="s">
        <v>90</v>
      </c>
      <c r="D13" s="288">
        <v>44</v>
      </c>
      <c r="E13" s="113">
        <v>1197.6636406289999</v>
      </c>
      <c r="F13" s="113">
        <v>13239.1808</v>
      </c>
      <c r="G13" s="282">
        <f>E13/$E$14</f>
        <v>1.3580503883164971E-2</v>
      </c>
      <c r="H13" s="282">
        <f t="shared" si="0"/>
        <v>0.27337874054160372</v>
      </c>
      <c r="I13" s="288">
        <v>940.54</v>
      </c>
      <c r="J13" s="113">
        <v>10299.38379</v>
      </c>
      <c r="K13" s="282">
        <f>I13/$I$14</f>
        <v>1.1782521910174122E-2</v>
      </c>
      <c r="L13" s="68"/>
      <c r="N13" s="68"/>
      <c r="O13" s="68"/>
      <c r="P13" s="68"/>
    </row>
    <row r="14" spans="1:16" ht="11.15" customHeight="1">
      <c r="A14" s="399"/>
      <c r="B14" s="399"/>
      <c r="C14" s="293" t="s">
        <v>0</v>
      </c>
      <c r="D14" s="296">
        <v>275274</v>
      </c>
      <c r="E14" s="294">
        <v>88189.926598649996</v>
      </c>
      <c r="F14" s="294">
        <v>974549.00360405003</v>
      </c>
      <c r="G14" s="295">
        <f>SUM(G9:G13)</f>
        <v>0.99999999999999989</v>
      </c>
      <c r="H14" s="295">
        <f>(E14-I14)/I14</f>
        <v>0.10479059094269386</v>
      </c>
      <c r="I14" s="296">
        <v>79825.016000000003</v>
      </c>
      <c r="J14" s="294">
        <v>874126.00783699995</v>
      </c>
      <c r="K14" s="295">
        <f>SUM(K9:K13)</f>
        <v>1</v>
      </c>
      <c r="L14" s="68"/>
    </row>
    <row r="15" spans="1:16" ht="11.15" customHeight="1">
      <c r="A15" s="397" t="str">
        <f>'3.1'!E5</f>
        <v>Listopad</v>
      </c>
      <c r="B15" s="397"/>
      <c r="C15" s="147" t="s">
        <v>4</v>
      </c>
      <c r="D15" s="287">
        <v>186</v>
      </c>
      <c r="E15" s="283">
        <v>51720.487744953003</v>
      </c>
      <c r="F15" s="283">
        <v>569402.16314999992</v>
      </c>
      <c r="G15" s="284">
        <f>E15/$E$20</f>
        <v>0.45839423442132421</v>
      </c>
      <c r="H15" s="284">
        <f>(E15-I15)/I15</f>
        <v>-7.7592357112333227E-2</v>
      </c>
      <c r="I15" s="287">
        <v>56071.18299999999</v>
      </c>
      <c r="J15" s="283">
        <v>612009.86258299986</v>
      </c>
      <c r="K15" s="284">
        <f>I15/$I$20</f>
        <v>0.51400314594089502</v>
      </c>
      <c r="L15" s="68"/>
      <c r="M15" s="68"/>
    </row>
    <row r="16" spans="1:16" ht="11.15" customHeight="1">
      <c r="A16" s="398"/>
      <c r="B16" s="398"/>
      <c r="C16" s="137" t="s">
        <v>5</v>
      </c>
      <c r="D16" s="288">
        <v>655</v>
      </c>
      <c r="E16" s="113">
        <v>9920.5135190140008</v>
      </c>
      <c r="F16" s="113">
        <v>109228.70344</v>
      </c>
      <c r="G16" s="282">
        <f>E16/$E$20</f>
        <v>8.7924658058905786E-2</v>
      </c>
      <c r="H16" s="282">
        <f>(E16-I16)/I16</f>
        <v>0.23386586470540249</v>
      </c>
      <c r="I16" s="288">
        <v>8040.1880000000001</v>
      </c>
      <c r="J16" s="113">
        <v>87759.487030000004</v>
      </c>
      <c r="K16" s="282">
        <f>I16/$I$20</f>
        <v>7.3704204278269528E-2</v>
      </c>
      <c r="L16" s="86"/>
      <c r="M16" s="68"/>
    </row>
    <row r="17" spans="1:20" ht="11.15" customHeight="1">
      <c r="A17" s="398"/>
      <c r="B17" s="398"/>
      <c r="C17" s="137" t="s">
        <v>6</v>
      </c>
      <c r="D17" s="288">
        <v>21002</v>
      </c>
      <c r="E17" s="113">
        <v>15545.348841006999</v>
      </c>
      <c r="F17" s="113">
        <v>171160.440010472</v>
      </c>
      <c r="G17" s="282">
        <f>E17/$E$20</f>
        <v>0.13777708972748778</v>
      </c>
      <c r="H17" s="282">
        <f t="shared" ref="H17:H20" si="1">(E17-I17)/I17</f>
        <v>0.12537364469591331</v>
      </c>
      <c r="I17" s="288">
        <v>13813.5</v>
      </c>
      <c r="J17" s="113">
        <v>150775.4</v>
      </c>
      <c r="K17" s="282">
        <f>I17/$I$20</f>
        <v>0.1266280124044209</v>
      </c>
      <c r="L17" s="68"/>
      <c r="M17" s="68"/>
      <c r="N17" s="68"/>
      <c r="O17" s="68"/>
    </row>
    <row r="18" spans="1:20" ht="11.15" customHeight="1">
      <c r="A18" s="398"/>
      <c r="B18" s="398"/>
      <c r="C18" s="137" t="s">
        <v>7</v>
      </c>
      <c r="D18" s="288">
        <v>253299</v>
      </c>
      <c r="E18" s="113">
        <v>34488.201173879999</v>
      </c>
      <c r="F18" s="113">
        <v>379728.74819315999</v>
      </c>
      <c r="G18" s="282">
        <f>E18/$E$20</f>
        <v>0.3056659606852225</v>
      </c>
      <c r="H18" s="282">
        <f t="shared" si="1"/>
        <v>0.14053941742745174</v>
      </c>
      <c r="I18" s="288">
        <v>30238.5</v>
      </c>
      <c r="J18" s="113">
        <v>330054.8</v>
      </c>
      <c r="K18" s="282">
        <f>I18/$I$20</f>
        <v>0.27719558063424055</v>
      </c>
      <c r="L18" s="68"/>
      <c r="M18" s="68"/>
      <c r="N18" s="68"/>
      <c r="O18" s="68"/>
    </row>
    <row r="19" spans="1:20" ht="11.15" customHeight="1">
      <c r="A19" s="398"/>
      <c r="B19" s="398"/>
      <c r="C19" s="137" t="s">
        <v>90</v>
      </c>
      <c r="D19" s="288">
        <v>44</v>
      </c>
      <c r="E19" s="113">
        <v>1155.1569966980001</v>
      </c>
      <c r="F19" s="113">
        <v>12720.644</v>
      </c>
      <c r="G19" s="282">
        <f>E19/$E$20</f>
        <v>1.0238057107059809E-2</v>
      </c>
      <c r="H19" s="282">
        <f t="shared" si="1"/>
        <v>0.25035123783968677</v>
      </c>
      <c r="I19" s="288">
        <v>923.86599999999999</v>
      </c>
      <c r="J19" s="113">
        <v>10084.038200000001</v>
      </c>
      <c r="K19" s="282">
        <f>I19/$I$20</f>
        <v>8.4690567421741563E-3</v>
      </c>
      <c r="L19" s="68"/>
      <c r="M19" s="68"/>
      <c r="N19" s="68"/>
      <c r="O19" s="68"/>
    </row>
    <row r="20" spans="1:20" ht="11.15" customHeight="1">
      <c r="A20" s="399"/>
      <c r="B20" s="399"/>
      <c r="C20" s="293" t="s">
        <v>0</v>
      </c>
      <c r="D20" s="296">
        <v>275186</v>
      </c>
      <c r="E20" s="294">
        <v>112829.708275552</v>
      </c>
      <c r="F20" s="294">
        <v>1242240.698793632</v>
      </c>
      <c r="G20" s="295">
        <f>SUM(G15:G19)</f>
        <v>1</v>
      </c>
      <c r="H20" s="295">
        <f t="shared" si="1"/>
        <v>3.4307141499532311E-2</v>
      </c>
      <c r="I20" s="296">
        <v>109087.23699999998</v>
      </c>
      <c r="J20" s="294">
        <v>1190683.587813</v>
      </c>
      <c r="K20" s="295">
        <f>SUM(K15:K19)</f>
        <v>1.0000000000000002</v>
      </c>
      <c r="L20" s="68"/>
      <c r="M20" s="68"/>
      <c r="N20" s="68"/>
      <c r="O20" s="68"/>
    </row>
    <row r="21" spans="1:20" ht="11.15" customHeight="1">
      <c r="A21" s="397" t="str">
        <f>'3.1'!F5</f>
        <v>Prosinec</v>
      </c>
      <c r="B21" s="397"/>
      <c r="C21" s="147" t="s">
        <v>4</v>
      </c>
      <c r="D21" s="287">
        <v>186</v>
      </c>
      <c r="E21" s="283">
        <v>50345.594139267996</v>
      </c>
      <c r="F21" s="283">
        <v>552716.07355299988</v>
      </c>
      <c r="G21" s="284">
        <f>E21/$E$26</f>
        <v>0.40981734952166077</v>
      </c>
      <c r="H21" s="284">
        <f>(E21-I21)/I21</f>
        <v>-3.4587975001406659E-2</v>
      </c>
      <c r="I21" s="287">
        <v>52149.334000000003</v>
      </c>
      <c r="J21" s="283">
        <v>567730.18284699996</v>
      </c>
      <c r="K21" s="284">
        <f>I21/$I$26</f>
        <v>0.44715852125506644</v>
      </c>
      <c r="L21" s="78"/>
      <c r="M21" s="78"/>
      <c r="N21" s="78"/>
      <c r="O21" s="78"/>
      <c r="P21" s="78"/>
      <c r="Q21" s="78"/>
      <c r="R21" s="78"/>
      <c r="S21" s="78"/>
      <c r="T21" s="78"/>
    </row>
    <row r="22" spans="1:20" ht="11.15" customHeight="1">
      <c r="A22" s="398"/>
      <c r="B22" s="398"/>
      <c r="C22" s="137" t="s">
        <v>5</v>
      </c>
      <c r="D22" s="288">
        <v>657</v>
      </c>
      <c r="E22" s="113">
        <v>10383.127985101999</v>
      </c>
      <c r="F22" s="113">
        <v>114011.76953999999</v>
      </c>
      <c r="G22" s="282">
        <f>E22/$E$26</f>
        <v>8.4519530722545796E-2</v>
      </c>
      <c r="H22" s="282">
        <f t="shared" ref="H22:H26" si="2">(E22-I22)/I22</f>
        <v>0.1846610910547381</v>
      </c>
      <c r="I22" s="288">
        <v>8764.64</v>
      </c>
      <c r="J22" s="113">
        <v>95416.794169999994</v>
      </c>
      <c r="K22" s="282">
        <f>I22/$I$26</f>
        <v>7.5153087510820463E-2</v>
      </c>
      <c r="L22" s="78"/>
      <c r="M22" s="78"/>
      <c r="N22" s="78"/>
      <c r="O22" s="78"/>
      <c r="P22" s="78"/>
      <c r="Q22" s="78"/>
      <c r="R22" s="78"/>
      <c r="S22" s="78"/>
      <c r="T22" s="78"/>
    </row>
    <row r="23" spans="1:20" ht="11.15" customHeight="1">
      <c r="A23" s="398"/>
      <c r="B23" s="398"/>
      <c r="C23" s="137" t="s">
        <v>6</v>
      </c>
      <c r="D23" s="288">
        <v>21027</v>
      </c>
      <c r="E23" s="113">
        <v>18734.408328239999</v>
      </c>
      <c r="F23" s="113">
        <v>205706.603563613</v>
      </c>
      <c r="G23" s="282">
        <f>E23/$E$26</f>
        <v>0.15249965160203538</v>
      </c>
      <c r="H23" s="282">
        <f t="shared" si="2"/>
        <v>0.11845878426765041</v>
      </c>
      <c r="I23" s="288">
        <v>16750.2</v>
      </c>
      <c r="J23" s="113">
        <v>182351.9</v>
      </c>
      <c r="K23" s="282">
        <f>I23/$I$26</f>
        <v>0.14362589295438777</v>
      </c>
      <c r="L23" s="78"/>
      <c r="M23" s="78"/>
      <c r="N23" s="78"/>
      <c r="O23" s="78"/>
      <c r="P23" s="78"/>
      <c r="Q23" s="78"/>
      <c r="R23" s="78"/>
      <c r="S23" s="78"/>
      <c r="T23" s="78"/>
    </row>
    <row r="24" spans="1:20" ht="11.15" customHeight="1">
      <c r="A24" s="398"/>
      <c r="B24" s="398"/>
      <c r="C24" s="137" t="s">
        <v>7</v>
      </c>
      <c r="D24" s="288">
        <v>253219</v>
      </c>
      <c r="E24" s="113">
        <v>42284.962465615004</v>
      </c>
      <c r="F24" s="113">
        <v>464293.91390320903</v>
      </c>
      <c r="G24" s="282">
        <f>E24/$E$26</f>
        <v>0.34420313313504197</v>
      </c>
      <c r="H24" s="282">
        <f t="shared" si="2"/>
        <v>0.11009210650212392</v>
      </c>
      <c r="I24" s="288">
        <v>38091.4</v>
      </c>
      <c r="J24" s="113">
        <v>414683.3</v>
      </c>
      <c r="K24" s="282">
        <f>I24/$I$26</f>
        <v>0.32661767255810475</v>
      </c>
      <c r="L24" s="78"/>
      <c r="M24" s="78"/>
      <c r="N24" s="78"/>
      <c r="O24" s="78"/>
      <c r="P24" s="78"/>
      <c r="Q24" s="78"/>
      <c r="R24" s="78"/>
      <c r="S24" s="78"/>
      <c r="T24" s="78"/>
    </row>
    <row r="25" spans="1:20" ht="11.15" customHeight="1">
      <c r="A25" s="398"/>
      <c r="B25" s="398"/>
      <c r="C25" s="137" t="s">
        <v>90</v>
      </c>
      <c r="D25" s="288">
        <v>44</v>
      </c>
      <c r="E25" s="113">
        <v>1100.766941006</v>
      </c>
      <c r="F25" s="113">
        <v>12089.37847</v>
      </c>
      <c r="G25" s="282">
        <f>E25/$E$26</f>
        <v>8.9603350187159835E-3</v>
      </c>
      <c r="H25" s="282">
        <f t="shared" si="2"/>
        <v>0.26780829007283663</v>
      </c>
      <c r="I25" s="288">
        <v>868.24400000000003</v>
      </c>
      <c r="J25" s="113">
        <v>9452.1631799999996</v>
      </c>
      <c r="K25" s="282">
        <f>I25/$I$26</f>
        <v>7.4448257216206048E-3</v>
      </c>
      <c r="L25" s="78"/>
      <c r="M25" s="78"/>
      <c r="N25" s="78"/>
      <c r="O25" s="78"/>
      <c r="P25" s="78"/>
      <c r="Q25" s="78"/>
      <c r="R25" s="78"/>
      <c r="S25" s="78"/>
      <c r="T25" s="78"/>
    </row>
    <row r="26" spans="1:20" ht="11.15" customHeight="1">
      <c r="A26" s="399"/>
      <c r="B26" s="399"/>
      <c r="C26" s="293" t="s">
        <v>0</v>
      </c>
      <c r="D26" s="296">
        <v>275133</v>
      </c>
      <c r="E26" s="294">
        <v>122848.85985923102</v>
      </c>
      <c r="F26" s="294">
        <v>1348817.7390298222</v>
      </c>
      <c r="G26" s="295">
        <f>SUM(G21:G25)</f>
        <v>0.99999999999999978</v>
      </c>
      <c r="H26" s="295">
        <f t="shared" si="2"/>
        <v>5.3377105688916959E-2</v>
      </c>
      <c r="I26" s="296">
        <v>116623.818</v>
      </c>
      <c r="J26" s="294">
        <v>1269634.340197</v>
      </c>
      <c r="K26" s="295">
        <f>SUM(K21:K25)</f>
        <v>1</v>
      </c>
    </row>
    <row r="27" spans="1:20" ht="11.15" customHeight="1">
      <c r="A27" s="467" t="str">
        <f>'3.1'!G5</f>
        <v>IV. čtvrtletí</v>
      </c>
      <c r="B27" s="397"/>
      <c r="C27" s="147" t="s">
        <v>4</v>
      </c>
      <c r="D27" s="287">
        <f>D21</f>
        <v>186</v>
      </c>
      <c r="E27" s="283">
        <f>E9+E15+E21</f>
        <v>150689.65555053897</v>
      </c>
      <c r="F27" s="283">
        <f>F9+F15+F21</f>
        <v>1659392.9729299999</v>
      </c>
      <c r="G27" s="284">
        <f>E27/$E$32</f>
        <v>0.46528037768714547</v>
      </c>
      <c r="H27" s="284">
        <f>(E27-I27)/I27</f>
        <v>-5.0756739914752436E-2</v>
      </c>
      <c r="I27" s="287">
        <f>I9+I15+I21</f>
        <v>158747.14299999998</v>
      </c>
      <c r="J27" s="283">
        <f>J9+J15+J21</f>
        <v>1733034.0541669999</v>
      </c>
      <c r="K27" s="284">
        <f>I27/$I$32</f>
        <v>0.51956923606574745</v>
      </c>
    </row>
    <row r="28" spans="1:20" ht="11.15" customHeight="1">
      <c r="A28" s="398"/>
      <c r="B28" s="398"/>
      <c r="C28" s="137" t="s">
        <v>5</v>
      </c>
      <c r="D28" s="288">
        <f>D22</f>
        <v>657</v>
      </c>
      <c r="E28" s="113">
        <f t="shared" ref="E28:F31" si="3">E10+E16+E22</f>
        <v>26856.944976006998</v>
      </c>
      <c r="F28" s="113">
        <f t="shared" si="3"/>
        <v>295663.81276</v>
      </c>
      <c r="G28" s="282">
        <f>E28/$E$32</f>
        <v>8.2925463306062527E-2</v>
      </c>
      <c r="H28" s="282">
        <f t="shared" ref="H28:H31" si="4">(E28-I28)/I28</f>
        <v>0.21310133041705698</v>
      </c>
      <c r="I28" s="288">
        <f t="shared" ref="I28:J28" si="5">I10+I16+I22</f>
        <v>22139.078000000001</v>
      </c>
      <c r="J28" s="113">
        <f t="shared" si="5"/>
        <v>241588.59651</v>
      </c>
      <c r="K28" s="282">
        <f>I28/$I$32</f>
        <v>7.2459784952854225E-2</v>
      </c>
    </row>
    <row r="29" spans="1:20" ht="11.15" customHeight="1">
      <c r="A29" s="398"/>
      <c r="B29" s="398"/>
      <c r="C29" s="137" t="s">
        <v>6</v>
      </c>
      <c r="D29" s="288">
        <f>D23</f>
        <v>21027</v>
      </c>
      <c r="E29" s="113">
        <f t="shared" si="3"/>
        <v>44246.854428246996</v>
      </c>
      <c r="F29" s="113">
        <f t="shared" si="3"/>
        <v>487019.87985469005</v>
      </c>
      <c r="G29" s="282">
        <f>E29/$E$32</f>
        <v>0.13661981683233912</v>
      </c>
      <c r="H29" s="282">
        <f t="shared" si="4"/>
        <v>0.1646207653680857</v>
      </c>
      <c r="I29" s="288">
        <f t="shared" ref="I29:J29" si="6">I11+I17+I23</f>
        <v>37992.5</v>
      </c>
      <c r="J29" s="113">
        <f t="shared" si="6"/>
        <v>414476.3</v>
      </c>
      <c r="K29" s="282">
        <f>I29/$I$32</f>
        <v>0.1243470202246595</v>
      </c>
    </row>
    <row r="30" spans="1:20" ht="11.15" customHeight="1">
      <c r="A30" s="398"/>
      <c r="B30" s="398"/>
      <c r="C30" s="137" t="s">
        <v>7</v>
      </c>
      <c r="D30" s="288">
        <f>D24</f>
        <v>253219</v>
      </c>
      <c r="E30" s="113">
        <f t="shared" si="3"/>
        <v>98621.452200307016</v>
      </c>
      <c r="F30" s="113">
        <f t="shared" si="3"/>
        <v>1085481.5726128141</v>
      </c>
      <c r="G30" s="282">
        <f>E30/$E$32</f>
        <v>0.30451079312756113</v>
      </c>
      <c r="H30" s="282">
        <f t="shared" si="4"/>
        <v>0.17511831678048301</v>
      </c>
      <c r="I30" s="288">
        <f t="shared" ref="I30:J30" si="7">I12+I18+I24</f>
        <v>83924.700000000012</v>
      </c>
      <c r="J30" s="113">
        <f t="shared" si="7"/>
        <v>915509.39999999991</v>
      </c>
      <c r="K30" s="282">
        <f>I30/$I$32</f>
        <v>0.27468017025066743</v>
      </c>
    </row>
    <row r="31" spans="1:20" ht="11.15" customHeight="1">
      <c r="A31" s="398"/>
      <c r="B31" s="398"/>
      <c r="C31" s="137" t="s">
        <v>90</v>
      </c>
      <c r="D31" s="288">
        <f>D25</f>
        <v>44</v>
      </c>
      <c r="E31" s="113">
        <f>E13+E19+E25</f>
        <v>3453.5875783330002</v>
      </c>
      <c r="F31" s="113">
        <f t="shared" si="3"/>
        <v>38049.203269999998</v>
      </c>
      <c r="G31" s="282">
        <f>E31/$E$32</f>
        <v>1.066354904689186E-2</v>
      </c>
      <c r="H31" s="282">
        <f t="shared" si="4"/>
        <v>0.26382360651126202</v>
      </c>
      <c r="I31" s="288">
        <f>I13+I19+I25</f>
        <v>2732.65</v>
      </c>
      <c r="J31" s="113">
        <f t="shared" ref="J31" si="8">J13+J19+J25</f>
        <v>29835.585170000002</v>
      </c>
      <c r="K31" s="282">
        <f>I31/$I$32</f>
        <v>8.9437885060713509E-3</v>
      </c>
    </row>
    <row r="32" spans="1:20" ht="11.15" customHeight="1">
      <c r="A32" s="399"/>
      <c r="B32" s="399"/>
      <c r="C32" s="293" t="s">
        <v>0</v>
      </c>
      <c r="D32" s="296">
        <f>SUM(D27:D31)</f>
        <v>275133</v>
      </c>
      <c r="E32" s="294">
        <f>SUM(E27:E31)</f>
        <v>323868.49473343295</v>
      </c>
      <c r="F32" s="294">
        <f>SUM(F27:F31)</f>
        <v>3565607.4414275037</v>
      </c>
      <c r="G32" s="295">
        <f>SUM(G27:G31)</f>
        <v>1.0000000000000002</v>
      </c>
      <c r="H32" s="295">
        <f>(E32-I32)/I32</f>
        <v>6.0000849239934595E-2</v>
      </c>
      <c r="I32" s="296">
        <f>SUM(I27:I31)</f>
        <v>305536.071</v>
      </c>
      <c r="J32" s="294">
        <f>SUM(J27:J31)</f>
        <v>3334443.9358469998</v>
      </c>
      <c r="K32" s="295">
        <f>SUM(K27:K31)</f>
        <v>0.99999999999999989</v>
      </c>
    </row>
    <row r="33" spans="1:11" ht="10" customHeight="1">
      <c r="A33" s="332"/>
      <c r="B33" s="333"/>
      <c r="C33" s="334"/>
      <c r="D33" s="335"/>
      <c r="E33" s="335"/>
      <c r="F33" s="335"/>
      <c r="G33" s="336"/>
      <c r="H33" s="337"/>
      <c r="I33" s="335"/>
      <c r="J33" s="335"/>
      <c r="K33" s="336"/>
    </row>
    <row r="34" spans="1:11" ht="13" customHeight="1">
      <c r="A34" s="492" t="s">
        <v>44</v>
      </c>
      <c r="B34" s="492"/>
      <c r="C34" s="492"/>
      <c r="D34" s="457">
        <f>D4</f>
        <v>2025</v>
      </c>
      <c r="E34" s="328"/>
      <c r="F34" s="317"/>
      <c r="G34" s="317"/>
      <c r="H34" s="317"/>
      <c r="I34" s="457">
        <f>D34-1</f>
        <v>2024</v>
      </c>
      <c r="J34" s="458"/>
      <c r="K34" s="458"/>
    </row>
    <row r="35" spans="1:11" ht="25" customHeight="1">
      <c r="A35" s="279"/>
      <c r="B35" s="253"/>
      <c r="C35" s="133"/>
      <c r="D35" s="459"/>
      <c r="E35" s="329"/>
      <c r="F35" s="330"/>
      <c r="G35" s="330"/>
      <c r="H35" s="331"/>
      <c r="I35" s="459"/>
      <c r="J35" s="460"/>
      <c r="K35" s="460"/>
    </row>
    <row r="36" spans="1:11" ht="25" customHeight="1">
      <c r="A36" s="114"/>
      <c r="B36" s="115"/>
      <c r="C36" s="327"/>
      <c r="D36" s="338" t="s">
        <v>156</v>
      </c>
      <c r="E36" s="455" t="s">
        <v>59</v>
      </c>
      <c r="F36" s="455"/>
      <c r="G36" s="456" t="s">
        <v>32</v>
      </c>
      <c r="H36" s="456" t="s">
        <v>256</v>
      </c>
      <c r="I36" s="453" t="s">
        <v>59</v>
      </c>
      <c r="J36" s="454"/>
      <c r="K36" s="456" t="s">
        <v>32</v>
      </c>
    </row>
    <row r="37" spans="1:11" ht="25" customHeight="1">
      <c r="A37" s="114"/>
      <c r="B37" s="281"/>
      <c r="C37" s="281"/>
      <c r="D37" s="339"/>
      <c r="E37" s="455"/>
      <c r="F37" s="455"/>
      <c r="G37" s="456"/>
      <c r="H37" s="456"/>
      <c r="I37" s="453"/>
      <c r="J37" s="454"/>
      <c r="K37" s="456"/>
    </row>
    <row r="38" spans="1:11" ht="15" customHeight="1">
      <c r="A38" s="493" t="s">
        <v>155</v>
      </c>
      <c r="B38" s="493"/>
      <c r="C38" s="340" t="s">
        <v>180</v>
      </c>
      <c r="D38" s="318"/>
      <c r="E38" s="201" t="s">
        <v>247</v>
      </c>
      <c r="F38" s="201" t="s">
        <v>248</v>
      </c>
      <c r="G38" s="442"/>
      <c r="H38" s="442"/>
      <c r="I38" s="203" t="s">
        <v>247</v>
      </c>
      <c r="J38" s="201" t="s">
        <v>248</v>
      </c>
      <c r="K38" s="442"/>
    </row>
    <row r="39" spans="1:11" ht="11.15" customHeight="1">
      <c r="A39" s="397" t="str">
        <f>'3.1'!D5</f>
        <v>Říjen</v>
      </c>
      <c r="B39" s="397"/>
      <c r="C39" s="147" t="s">
        <v>4</v>
      </c>
      <c r="D39" s="287">
        <v>134</v>
      </c>
      <c r="E39" s="283">
        <v>43995.034</v>
      </c>
      <c r="F39" s="283">
        <v>486091.85321299999</v>
      </c>
      <c r="G39" s="284">
        <f>E39/$E$44</f>
        <v>0.70763847655582424</v>
      </c>
      <c r="H39" s="284">
        <f>(E39-I39)/I39</f>
        <v>-0.34895926568758717</v>
      </c>
      <c r="I39" s="287">
        <v>67576.468999999997</v>
      </c>
      <c r="J39" s="283">
        <v>740054.34152300004</v>
      </c>
      <c r="K39" s="284">
        <f>I39/$I$44</f>
        <v>0.81492745572794079</v>
      </c>
    </row>
    <row r="40" spans="1:11" ht="11.15" customHeight="1">
      <c r="A40" s="398"/>
      <c r="B40" s="398"/>
      <c r="C40" s="137" t="s">
        <v>5</v>
      </c>
      <c r="D40" s="288">
        <v>266</v>
      </c>
      <c r="E40" s="113">
        <v>2743.951</v>
      </c>
      <c r="F40" s="113">
        <v>30317.62977</v>
      </c>
      <c r="G40" s="282">
        <f t="shared" ref="G40" si="9">E40/$E$44</f>
        <v>4.4135101824988483E-2</v>
      </c>
      <c r="H40" s="282">
        <f>(E40-I40)/I40</f>
        <v>8.5520269802494261E-2</v>
      </c>
      <c r="I40" s="288">
        <v>2527.7750000000001</v>
      </c>
      <c r="J40" s="113">
        <v>27680.636869999998</v>
      </c>
      <c r="K40" s="282">
        <f t="shared" ref="K40:K43" si="10">I40/$I$44</f>
        <v>3.0483292185667404E-2</v>
      </c>
    </row>
    <row r="41" spans="1:11" ht="11.15" customHeight="1">
      <c r="A41" s="398"/>
      <c r="B41" s="398"/>
      <c r="C41" s="137" t="s">
        <v>6</v>
      </c>
      <c r="D41" s="288">
        <v>12667</v>
      </c>
      <c r="E41" s="113">
        <v>5165.652</v>
      </c>
      <c r="F41" s="113">
        <v>57042.106529999997</v>
      </c>
      <c r="G41" s="282">
        <f>E41/$E$44</f>
        <v>8.3086970945346839E-2</v>
      </c>
      <c r="H41" s="282">
        <f t="shared" ref="H41:H43" si="11">(E41-I41)/I41</f>
        <v>0.18321128592992336</v>
      </c>
      <c r="I41" s="288">
        <v>4365.79</v>
      </c>
      <c r="J41" s="113">
        <v>47790.441480000001</v>
      </c>
      <c r="K41" s="282">
        <f t="shared" si="10"/>
        <v>5.264853564548462E-2</v>
      </c>
    </row>
    <row r="42" spans="1:11" ht="11.15" customHeight="1">
      <c r="A42" s="398"/>
      <c r="B42" s="398"/>
      <c r="C42" s="137" t="s">
        <v>7</v>
      </c>
      <c r="D42" s="288">
        <v>200351</v>
      </c>
      <c r="E42" s="113">
        <v>9880.2999999999993</v>
      </c>
      <c r="F42" s="113">
        <v>109166.6</v>
      </c>
      <c r="G42" s="282">
        <f>E42/$E$44</f>
        <v>0.15891976444238023</v>
      </c>
      <c r="H42" s="282">
        <f t="shared" si="11"/>
        <v>0.23289534433921058</v>
      </c>
      <c r="I42" s="288">
        <v>8013.9</v>
      </c>
      <c r="J42" s="113">
        <v>87755.8</v>
      </c>
      <c r="K42" s="282">
        <f t="shared" si="10"/>
        <v>9.6642325858401157E-2</v>
      </c>
    </row>
    <row r="43" spans="1:11" ht="11.15" customHeight="1">
      <c r="A43" s="398"/>
      <c r="B43" s="398"/>
      <c r="C43" s="137" t="s">
        <v>90</v>
      </c>
      <c r="D43" s="288">
        <v>20</v>
      </c>
      <c r="E43" s="113">
        <v>386.68799999999999</v>
      </c>
      <c r="F43" s="113">
        <v>4253.5740999999998</v>
      </c>
      <c r="G43" s="282">
        <f>E43/$E$44</f>
        <v>6.2196862314600901E-3</v>
      </c>
      <c r="H43" s="282">
        <f t="shared" si="11"/>
        <v>-0.11988346686088862</v>
      </c>
      <c r="I43" s="288">
        <v>439.36</v>
      </c>
      <c r="J43" s="113">
        <v>4790.8548900000005</v>
      </c>
      <c r="K43" s="282">
        <f t="shared" si="10"/>
        <v>5.2983905825062872E-3</v>
      </c>
    </row>
    <row r="44" spans="1:11" ht="11.15" customHeight="1">
      <c r="A44" s="399"/>
      <c r="B44" s="399"/>
      <c r="C44" s="293" t="s">
        <v>0</v>
      </c>
      <c r="D44" s="296">
        <v>213438</v>
      </c>
      <c r="E44" s="294">
        <v>62171.625000000007</v>
      </c>
      <c r="F44" s="294">
        <v>686871.76361299993</v>
      </c>
      <c r="G44" s="295">
        <f>SUM(G39:G43)</f>
        <v>0.99999999999999989</v>
      </c>
      <c r="H44" s="295">
        <f>(E44-I44)/I44</f>
        <v>-0.25025138292263183</v>
      </c>
      <c r="I44" s="296">
        <v>82923.29399999998</v>
      </c>
      <c r="J44" s="294">
        <v>908072.07476300013</v>
      </c>
      <c r="K44" s="295">
        <f>SUM(K39:K43)</f>
        <v>1.0000000000000002</v>
      </c>
    </row>
    <row r="45" spans="1:11" ht="11.15" customHeight="1">
      <c r="A45" s="397" t="str">
        <f>'3.1'!E5</f>
        <v>Listopad</v>
      </c>
      <c r="B45" s="397"/>
      <c r="C45" s="147" t="s">
        <v>4</v>
      </c>
      <c r="D45" s="287">
        <v>135</v>
      </c>
      <c r="E45" s="283">
        <v>45050.055999999997</v>
      </c>
      <c r="F45" s="283">
        <v>495957.64603599999</v>
      </c>
      <c r="G45" s="284">
        <f>E45/$E$50</f>
        <v>0.61789795081703014</v>
      </c>
      <c r="H45" s="284">
        <f>(E45-I45)/I45</f>
        <v>-0.57404874850477583</v>
      </c>
      <c r="I45" s="287">
        <v>105763.408</v>
      </c>
      <c r="J45" s="283">
        <v>1154601.4540510001</v>
      </c>
      <c r="K45" s="284">
        <f>I45/$I$50</f>
        <v>0.79052354853479923</v>
      </c>
    </row>
    <row r="46" spans="1:11" ht="11.15" customHeight="1">
      <c r="A46" s="398"/>
      <c r="B46" s="398"/>
      <c r="C46" s="137" t="s">
        <v>5</v>
      </c>
      <c r="D46" s="288">
        <v>266</v>
      </c>
      <c r="E46" s="113">
        <v>4083.1759999999999</v>
      </c>
      <c r="F46" s="113">
        <v>44949.077619999996</v>
      </c>
      <c r="G46" s="282">
        <f t="shared" ref="G46:G49" si="12">E46/$E$50</f>
        <v>5.6004060976645134E-2</v>
      </c>
      <c r="H46" s="282">
        <f>(E46-I46)/I46</f>
        <v>3.6523766417265249E-2</v>
      </c>
      <c r="I46" s="288">
        <v>3939.2979999999998</v>
      </c>
      <c r="J46" s="113">
        <v>42997.761769999997</v>
      </c>
      <c r="K46" s="282">
        <f t="shared" ref="K46:K49" si="13">I46/$I$50</f>
        <v>2.9444095009646794E-2</v>
      </c>
    </row>
    <row r="47" spans="1:11" ht="11.15" customHeight="1">
      <c r="A47" s="398"/>
      <c r="B47" s="398"/>
      <c r="C47" s="137" t="s">
        <v>6</v>
      </c>
      <c r="D47" s="288">
        <v>12672</v>
      </c>
      <c r="E47" s="113">
        <v>7977.2220000000007</v>
      </c>
      <c r="F47" s="113">
        <v>87776.393309999999</v>
      </c>
      <c r="G47" s="282">
        <f t="shared" si="12"/>
        <v>0.10941405105051438</v>
      </c>
      <c r="H47" s="282">
        <f t="shared" ref="H47:H49" si="14">(E47-I47)/I47</f>
        <v>-1.749420082761205E-2</v>
      </c>
      <c r="I47" s="288">
        <v>8119.2619999999997</v>
      </c>
      <c r="J47" s="113">
        <v>88593.38115999999</v>
      </c>
      <c r="K47" s="282">
        <f t="shared" si="13"/>
        <v>6.068703655732946E-2</v>
      </c>
    </row>
    <row r="48" spans="1:11" ht="11.15" customHeight="1">
      <c r="A48" s="398"/>
      <c r="B48" s="398"/>
      <c r="C48" s="137" t="s">
        <v>7</v>
      </c>
      <c r="D48" s="288">
        <v>200247</v>
      </c>
      <c r="E48" s="113">
        <v>15428.2</v>
      </c>
      <c r="F48" s="113">
        <v>169840.3</v>
      </c>
      <c r="G48" s="282">
        <f t="shared" si="12"/>
        <v>0.21161024005819895</v>
      </c>
      <c r="H48" s="282">
        <f t="shared" si="14"/>
        <v>-7.1240564003886321E-3</v>
      </c>
      <c r="I48" s="288">
        <v>15538.9</v>
      </c>
      <c r="J48" s="113">
        <v>169608.1</v>
      </c>
      <c r="K48" s="282">
        <f t="shared" si="13"/>
        <v>0.11614476689638625</v>
      </c>
    </row>
    <row r="49" spans="1:11" ht="11.15" customHeight="1">
      <c r="A49" s="398"/>
      <c r="B49" s="398"/>
      <c r="C49" s="137" t="s">
        <v>90</v>
      </c>
      <c r="D49" s="288">
        <v>20</v>
      </c>
      <c r="E49" s="113">
        <v>369.916</v>
      </c>
      <c r="F49" s="113">
        <v>4058.4301</v>
      </c>
      <c r="G49" s="282">
        <f t="shared" si="12"/>
        <v>5.073697097611434E-3</v>
      </c>
      <c r="H49" s="282">
        <f t="shared" si="14"/>
        <v>-0.13611194794943465</v>
      </c>
      <c r="I49" s="288">
        <v>428.19899999999996</v>
      </c>
      <c r="J49" s="113">
        <v>4657.8889200000003</v>
      </c>
      <c r="K49" s="282">
        <f t="shared" si="13"/>
        <v>3.2005530018383343E-3</v>
      </c>
    </row>
    <row r="50" spans="1:11" ht="11.15" customHeight="1">
      <c r="A50" s="399"/>
      <c r="B50" s="399"/>
      <c r="C50" s="293" t="s">
        <v>0</v>
      </c>
      <c r="D50" s="296">
        <v>213340</v>
      </c>
      <c r="E50" s="294">
        <v>72908.569999999992</v>
      </c>
      <c r="F50" s="294">
        <v>802581.84706599987</v>
      </c>
      <c r="G50" s="295">
        <f>SUM(G45:G49)</f>
        <v>1</v>
      </c>
      <c r="H50" s="295">
        <f t="shared" ref="H50" si="15">(E50-I50)/I50</f>
        <v>-0.45504837103019785</v>
      </c>
      <c r="I50" s="296">
        <v>133789.06699999998</v>
      </c>
      <c r="J50" s="294">
        <v>1460458.5859010003</v>
      </c>
      <c r="K50" s="295">
        <f>SUM(K45:K49)</f>
        <v>1.0000000000000002</v>
      </c>
    </row>
    <row r="51" spans="1:11" ht="11.15" customHeight="1">
      <c r="A51" s="397" t="str">
        <f>'3.1'!F5</f>
        <v>Prosinec</v>
      </c>
      <c r="B51" s="397"/>
      <c r="C51" s="147" t="s">
        <v>4</v>
      </c>
      <c r="D51" s="287">
        <v>135</v>
      </c>
      <c r="E51" s="283">
        <v>78596.23000000001</v>
      </c>
      <c r="F51" s="283">
        <v>863309.73570600012</v>
      </c>
      <c r="G51" s="284">
        <f>E51/$E$56</f>
        <v>0.7031273203867251</v>
      </c>
      <c r="H51" s="284">
        <f>(E51-I51)/I51</f>
        <v>5.5517214746992047E-2</v>
      </c>
      <c r="I51" s="287">
        <v>74462.290999999997</v>
      </c>
      <c r="J51" s="283">
        <v>810993.43712299992</v>
      </c>
      <c r="K51" s="284">
        <f>I51/$I$56</f>
        <v>0.68646588412393861</v>
      </c>
    </row>
    <row r="52" spans="1:11" ht="11.15" customHeight="1">
      <c r="A52" s="398"/>
      <c r="B52" s="398"/>
      <c r="C52" s="137" t="s">
        <v>5</v>
      </c>
      <c r="D52" s="288">
        <v>267</v>
      </c>
      <c r="E52" s="113">
        <v>4243.2070000000003</v>
      </c>
      <c r="F52" s="113">
        <v>46578.751550000001</v>
      </c>
      <c r="G52" s="282">
        <f t="shared" ref="G52:G55" si="16">E52/$E$56</f>
        <v>3.7960023880995238E-2</v>
      </c>
      <c r="H52" s="282">
        <f t="shared" ref="H52:H55" si="17">(E52-I52)/I52</f>
        <v>1.0254427415105894E-2</v>
      </c>
      <c r="I52" s="288">
        <v>4200.1369999999997</v>
      </c>
      <c r="J52" s="113">
        <v>45724.963949999998</v>
      </c>
      <c r="K52" s="282">
        <f t="shared" ref="K52:K55" si="18">I52/$I$56</f>
        <v>3.8720951510163269E-2</v>
      </c>
    </row>
    <row r="53" spans="1:11" ht="11.15" customHeight="1">
      <c r="A53" s="398"/>
      <c r="B53" s="398"/>
      <c r="C53" s="137" t="s">
        <v>6</v>
      </c>
      <c r="D53" s="288">
        <v>12675</v>
      </c>
      <c r="E53" s="113">
        <v>9607.8289999999997</v>
      </c>
      <c r="F53" s="113">
        <v>105427.05574</v>
      </c>
      <c r="G53" s="282">
        <f t="shared" si="16"/>
        <v>8.5952304067305349E-2</v>
      </c>
      <c r="H53" s="282">
        <f t="shared" si="17"/>
        <v>-2.3572386200661492E-2</v>
      </c>
      <c r="I53" s="288">
        <v>9839.7759999999998</v>
      </c>
      <c r="J53" s="113">
        <v>107090.61615</v>
      </c>
      <c r="K53" s="282">
        <f t="shared" si="18"/>
        <v>9.0712633746677387E-2</v>
      </c>
    </row>
    <row r="54" spans="1:11" ht="11.15" customHeight="1">
      <c r="A54" s="398"/>
      <c r="B54" s="398"/>
      <c r="C54" s="137" t="s">
        <v>7</v>
      </c>
      <c r="D54" s="288">
        <v>200169</v>
      </c>
      <c r="E54" s="113">
        <v>18975.7</v>
      </c>
      <c r="F54" s="113">
        <v>208300.6</v>
      </c>
      <c r="G54" s="282">
        <f t="shared" si="16"/>
        <v>0.16975792723725269</v>
      </c>
      <c r="H54" s="282">
        <f t="shared" si="17"/>
        <v>-3.0585867255190486E-2</v>
      </c>
      <c r="I54" s="288">
        <v>19574.400000000001</v>
      </c>
      <c r="J54" s="113">
        <v>213096.9</v>
      </c>
      <c r="K54" s="282">
        <f t="shared" si="18"/>
        <v>0.18045587399661964</v>
      </c>
    </row>
    <row r="55" spans="1:11" ht="11.15" customHeight="1">
      <c r="A55" s="398"/>
      <c r="B55" s="398"/>
      <c r="C55" s="137" t="s">
        <v>90</v>
      </c>
      <c r="D55" s="288">
        <v>20</v>
      </c>
      <c r="E55" s="113">
        <v>357.96999999999997</v>
      </c>
      <c r="F55" s="113">
        <v>3919.4407999999999</v>
      </c>
      <c r="G55" s="282">
        <f t="shared" si="16"/>
        <v>3.2024244277217358E-3</v>
      </c>
      <c r="H55" s="282">
        <f t="shared" si="17"/>
        <v>-9.4533101635794856E-2</v>
      </c>
      <c r="I55" s="288">
        <v>395.34300000000002</v>
      </c>
      <c r="J55" s="113">
        <v>4292.7914000000001</v>
      </c>
      <c r="K55" s="282">
        <f t="shared" si="18"/>
        <v>3.644656622601234E-3</v>
      </c>
    </row>
    <row r="56" spans="1:11" ht="11.15" customHeight="1">
      <c r="A56" s="399"/>
      <c r="B56" s="399"/>
      <c r="C56" s="293" t="s">
        <v>0</v>
      </c>
      <c r="D56" s="296">
        <v>213266</v>
      </c>
      <c r="E56" s="294">
        <v>111780.936</v>
      </c>
      <c r="F56" s="294">
        <v>1227535.5837960001</v>
      </c>
      <c r="G56" s="295">
        <f>SUM(G51:G55)</f>
        <v>1.0000000000000002</v>
      </c>
      <c r="H56" s="295">
        <f t="shared" ref="H56" si="19">(E56-I56)/I56</f>
        <v>3.0505481753729528E-2</v>
      </c>
      <c r="I56" s="296">
        <v>108471.94699999999</v>
      </c>
      <c r="J56" s="294">
        <v>1181198.708623</v>
      </c>
      <c r="K56" s="295">
        <f>SUM(K51:K55)</f>
        <v>1.0000000000000002</v>
      </c>
    </row>
    <row r="57" spans="1:11" ht="11.15" customHeight="1">
      <c r="A57" s="467" t="str">
        <f>'3.1'!G5</f>
        <v>IV. čtvrtletí</v>
      </c>
      <c r="B57" s="397"/>
      <c r="C57" s="147" t="s">
        <v>4</v>
      </c>
      <c r="D57" s="287">
        <f>D51</f>
        <v>135</v>
      </c>
      <c r="E57" s="283">
        <f>E39+E45+E51</f>
        <v>167641.32</v>
      </c>
      <c r="F57" s="283">
        <f>F39+F45+F51</f>
        <v>1845359.2349550002</v>
      </c>
      <c r="G57" s="284">
        <f>E57/$E$62</f>
        <v>0.67909159826380283</v>
      </c>
      <c r="H57" s="284">
        <f>(E57-I57)/I57</f>
        <v>-0.32348727473603045</v>
      </c>
      <c r="I57" s="287">
        <f>I39+I45+I51</f>
        <v>247802.16799999998</v>
      </c>
      <c r="J57" s="283">
        <f>J39+J45+J51</f>
        <v>2705649.2326969998</v>
      </c>
      <c r="K57" s="284">
        <f>I57/$I$62</f>
        <v>0.76203605741024871</v>
      </c>
    </row>
    <row r="58" spans="1:11" ht="11.15" customHeight="1">
      <c r="A58" s="398"/>
      <c r="B58" s="398"/>
      <c r="C58" s="137" t="s">
        <v>5</v>
      </c>
      <c r="D58" s="288">
        <f>D52</f>
        <v>267</v>
      </c>
      <c r="E58" s="113">
        <f t="shared" ref="E58:F59" si="20">E40+E46+E52</f>
        <v>11070.334000000001</v>
      </c>
      <c r="F58" s="113">
        <f t="shared" si="20"/>
        <v>121845.45894</v>
      </c>
      <c r="G58" s="282">
        <f t="shared" ref="G58:G61" si="21">E58/$E$62</f>
        <v>4.4844378518220429E-2</v>
      </c>
      <c r="H58" s="282">
        <f t="shared" ref="H58:H61" si="22">(E58-I58)/I58</f>
        <v>3.779095002348333E-2</v>
      </c>
      <c r="I58" s="288">
        <f t="shared" ref="I58:J58" si="23">I40+I46+I52</f>
        <v>10667.21</v>
      </c>
      <c r="J58" s="113">
        <f t="shared" si="23"/>
        <v>116403.36259</v>
      </c>
      <c r="K58" s="282">
        <f t="shared" ref="K58:K61" si="24">I58/$I$62</f>
        <v>3.2803581653761717E-2</v>
      </c>
    </row>
    <row r="59" spans="1:11" ht="11.15" customHeight="1">
      <c r="A59" s="398"/>
      <c r="B59" s="398"/>
      <c r="C59" s="137" t="s">
        <v>6</v>
      </c>
      <c r="D59" s="288">
        <f>D53</f>
        <v>12675</v>
      </c>
      <c r="E59" s="113">
        <f>E41+E47+E53</f>
        <v>22750.703000000001</v>
      </c>
      <c r="F59" s="113">
        <f t="shared" si="20"/>
        <v>250245.55557999999</v>
      </c>
      <c r="G59" s="282">
        <f t="shared" si="21"/>
        <v>9.2159923710306582E-2</v>
      </c>
      <c r="H59" s="282">
        <f t="shared" si="22"/>
        <v>1.907629478713117E-2</v>
      </c>
      <c r="I59" s="288">
        <f>I41+I47+I53</f>
        <v>22324.828000000001</v>
      </c>
      <c r="J59" s="113">
        <f t="shared" ref="J59" si="25">J41+J47+J53</f>
        <v>243474.43878999999</v>
      </c>
      <c r="K59" s="282">
        <f t="shared" si="24"/>
        <v>6.8652845327333581E-2</v>
      </c>
    </row>
    <row r="60" spans="1:11" ht="11.15" customHeight="1">
      <c r="A60" s="398"/>
      <c r="B60" s="398"/>
      <c r="C60" s="137" t="s">
        <v>7</v>
      </c>
      <c r="D60" s="288">
        <f>D54</f>
        <v>200169</v>
      </c>
      <c r="E60" s="113">
        <f t="shared" ref="E60:F61" si="26">E42+E48+E54</f>
        <v>44284.2</v>
      </c>
      <c r="F60" s="113">
        <f t="shared" si="26"/>
        <v>487307.5</v>
      </c>
      <c r="G60" s="282">
        <f t="shared" si="21"/>
        <v>0.17938911573730087</v>
      </c>
      <c r="H60" s="282">
        <f t="shared" si="22"/>
        <v>2.6827616909977928E-2</v>
      </c>
      <c r="I60" s="288">
        <f t="shared" ref="I60:J60" si="27">I42+I48+I54</f>
        <v>43127.199999999997</v>
      </c>
      <c r="J60" s="113">
        <f t="shared" si="27"/>
        <v>470460.80000000005</v>
      </c>
      <c r="K60" s="282">
        <f t="shared" si="24"/>
        <v>0.13262386572478768</v>
      </c>
    </row>
    <row r="61" spans="1:11" ht="11.15" customHeight="1">
      <c r="A61" s="398"/>
      <c r="B61" s="398"/>
      <c r="C61" s="137" t="s">
        <v>90</v>
      </c>
      <c r="D61" s="288">
        <f>D55</f>
        <v>20</v>
      </c>
      <c r="E61" s="113">
        <f>E43+E49+E55</f>
        <v>1114.5740000000001</v>
      </c>
      <c r="F61" s="113">
        <f t="shared" si="26"/>
        <v>12231.445</v>
      </c>
      <c r="G61" s="282">
        <f t="shared" si="21"/>
        <v>4.5149837703692608E-3</v>
      </c>
      <c r="H61" s="282">
        <f t="shared" si="22"/>
        <v>-0.1174501267715151</v>
      </c>
      <c r="I61" s="288">
        <f>I43+I49+I55</f>
        <v>1262.902</v>
      </c>
      <c r="J61" s="113">
        <f t="shared" ref="J61" si="28">J43+J49+J55</f>
        <v>13741.53521</v>
      </c>
      <c r="K61" s="282">
        <f t="shared" si="24"/>
        <v>3.8836498838683204E-3</v>
      </c>
    </row>
    <row r="62" spans="1:11" ht="11.15" customHeight="1">
      <c r="A62" s="399"/>
      <c r="B62" s="399"/>
      <c r="C62" s="293" t="s">
        <v>0</v>
      </c>
      <c r="D62" s="296">
        <f>SUM(D57:D61)</f>
        <v>213266</v>
      </c>
      <c r="E62" s="294">
        <f>SUM(E57:E61)</f>
        <v>246861.13100000002</v>
      </c>
      <c r="F62" s="294">
        <f>SUM(F57:F61)</f>
        <v>2716989.1944750003</v>
      </c>
      <c r="G62" s="295">
        <f>SUM(G57:G61)</f>
        <v>1</v>
      </c>
      <c r="H62" s="295">
        <f>(E62-I62)/I62</f>
        <v>-0.24085779994033399</v>
      </c>
      <c r="I62" s="296">
        <f>SUM(I57:I61)</f>
        <v>325184.30799999996</v>
      </c>
      <c r="J62" s="294">
        <f>SUM(J57:J61)</f>
        <v>3549729.3692869996</v>
      </c>
      <c r="K62" s="295">
        <f>SUM(K57:K61)</f>
        <v>1</v>
      </c>
    </row>
    <row r="63" spans="1:11" ht="15" customHeight="1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1" ht="15" customHeight="1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I34:K35"/>
    <mergeCell ref="A51:B56"/>
    <mergeCell ref="I36:J37"/>
    <mergeCell ref="K36:K38"/>
    <mergeCell ref="A57:B62"/>
    <mergeCell ref="A39:B44"/>
    <mergeCell ref="A45:B50"/>
    <mergeCell ref="A27:B32"/>
    <mergeCell ref="H36:H38"/>
    <mergeCell ref="A38:B38"/>
    <mergeCell ref="E36:F37"/>
    <mergeCell ref="G36:G38"/>
    <mergeCell ref="A34:C34"/>
    <mergeCell ref="D34:D35"/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29"/>
  <dimension ref="A1:T120"/>
  <sheetViews>
    <sheetView showGridLines="0" topLeftCell="A15" zoomScaleNormal="100" zoomScaleSheetLayoutView="100" workbookViewId="0">
      <selection activeCell="G1" sqref="G1"/>
    </sheetView>
  </sheetViews>
  <sheetFormatPr defaultColWidth="9.1796875" defaultRowHeight="12.5"/>
  <cols>
    <col min="1" max="1" width="9.453125" style="67" customWidth="1"/>
    <col min="2" max="2" width="3.81640625" style="67" customWidth="1"/>
    <col min="3" max="11" width="9.54296875" style="67" customWidth="1"/>
    <col min="12" max="13" width="9.1796875" style="67"/>
    <col min="14" max="14" width="11.1796875" style="67" customWidth="1"/>
    <col min="15" max="16384" width="9.1796875" style="67"/>
  </cols>
  <sheetData>
    <row r="1" spans="1:16" s="91" customFormat="1" ht="18">
      <c r="A1" s="471" t="s">
        <v>293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</row>
    <row r="2" spans="1:16" s="91" customFormat="1" ht="3" customHeight="1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6" ht="3" customHeight="1">
      <c r="A3" s="491"/>
      <c r="B3" s="491"/>
      <c r="C3" s="491"/>
      <c r="D3" s="275"/>
      <c r="E3" s="275"/>
      <c r="F3" s="276"/>
      <c r="G3" s="277"/>
      <c r="H3" s="277"/>
      <c r="I3" s="277"/>
    </row>
    <row r="4" spans="1:16" ht="13" customHeight="1">
      <c r="A4" s="463" t="s">
        <v>45</v>
      </c>
      <c r="B4" s="463"/>
      <c r="C4" s="463"/>
      <c r="D4" s="457">
        <f>'3.1'!A4</f>
        <v>2025</v>
      </c>
      <c r="E4" s="328"/>
      <c r="F4" s="317"/>
      <c r="G4" s="317"/>
      <c r="H4" s="317"/>
      <c r="I4" s="457">
        <f>D4-1</f>
        <v>2024</v>
      </c>
      <c r="J4" s="458"/>
      <c r="K4" s="458"/>
    </row>
    <row r="5" spans="1:16" ht="25" customHeight="1">
      <c r="A5" s="133"/>
      <c r="B5" s="133"/>
      <c r="C5" s="133"/>
      <c r="D5" s="459"/>
      <c r="E5" s="329"/>
      <c r="F5" s="330"/>
      <c r="G5" s="330"/>
      <c r="H5" s="331"/>
      <c r="I5" s="459"/>
      <c r="J5" s="460"/>
      <c r="K5" s="460"/>
    </row>
    <row r="6" spans="1:16" ht="25" customHeight="1">
      <c r="A6" s="279"/>
      <c r="B6" s="253"/>
      <c r="C6" s="280"/>
      <c r="D6" s="338" t="s">
        <v>156</v>
      </c>
      <c r="E6" s="455" t="s">
        <v>59</v>
      </c>
      <c r="F6" s="455"/>
      <c r="G6" s="456" t="s">
        <v>32</v>
      </c>
      <c r="H6" s="456" t="s">
        <v>256</v>
      </c>
      <c r="I6" s="453" t="s">
        <v>59</v>
      </c>
      <c r="J6" s="454"/>
      <c r="K6" s="456" t="s">
        <v>32</v>
      </c>
    </row>
    <row r="7" spans="1:16" ht="25" customHeight="1">
      <c r="A7" s="279"/>
      <c r="B7" s="281"/>
      <c r="D7" s="339"/>
      <c r="E7" s="455"/>
      <c r="F7" s="455"/>
      <c r="G7" s="456"/>
      <c r="H7" s="456"/>
      <c r="I7" s="453"/>
      <c r="J7" s="454"/>
      <c r="K7" s="456"/>
    </row>
    <row r="8" spans="1:16" ht="15" customHeight="1">
      <c r="A8" s="464" t="s">
        <v>155</v>
      </c>
      <c r="B8" s="464"/>
      <c r="C8" s="298" t="s">
        <v>180</v>
      </c>
      <c r="D8" s="318"/>
      <c r="E8" s="201" t="s">
        <v>247</v>
      </c>
      <c r="F8" s="201" t="s">
        <v>248</v>
      </c>
      <c r="G8" s="442"/>
      <c r="H8" s="442"/>
      <c r="I8" s="203" t="s">
        <v>247</v>
      </c>
      <c r="J8" s="201" t="s">
        <v>248</v>
      </c>
      <c r="K8" s="442"/>
    </row>
    <row r="9" spans="1:16" ht="11.15" customHeight="1">
      <c r="A9" s="397" t="str">
        <f>'3.1'!D5</f>
        <v>Říjen</v>
      </c>
      <c r="B9" s="397"/>
      <c r="C9" s="147" t="s">
        <v>4</v>
      </c>
      <c r="D9" s="287">
        <v>79</v>
      </c>
      <c r="E9" s="283">
        <v>8790.4363419999991</v>
      </c>
      <c r="F9" s="283">
        <v>97163.236269000001</v>
      </c>
      <c r="G9" s="284">
        <f>E9/$E$14</f>
        <v>0.36004296051018397</v>
      </c>
      <c r="H9" s="284">
        <f>(E9-I9)/I9</f>
        <v>-1.4528565009284605E-2</v>
      </c>
      <c r="I9" s="287">
        <v>8920.0316010000006</v>
      </c>
      <c r="J9" s="283">
        <v>97688.188930000004</v>
      </c>
      <c r="K9" s="284">
        <f>I9/$I$14</f>
        <v>0.40949201324749862</v>
      </c>
    </row>
    <row r="10" spans="1:16" ht="11.15" customHeight="1">
      <c r="A10" s="398"/>
      <c r="B10" s="398"/>
      <c r="C10" s="137" t="s">
        <v>5</v>
      </c>
      <c r="D10" s="288">
        <v>297</v>
      </c>
      <c r="E10" s="113">
        <v>3339.6466880000003</v>
      </c>
      <c r="F10" s="113">
        <v>36923.677227</v>
      </c>
      <c r="G10" s="282">
        <f>E10/$E$14</f>
        <v>0.13678687084741201</v>
      </c>
      <c r="H10" s="282">
        <f>(E10-I10)/I10</f>
        <v>0.22328309131274346</v>
      </c>
      <c r="I10" s="288">
        <v>2730.0685439999997</v>
      </c>
      <c r="J10" s="113">
        <v>29902.747524999999</v>
      </c>
      <c r="K10" s="282">
        <f>I10/$I$14</f>
        <v>0.12532929415417068</v>
      </c>
      <c r="L10" s="68"/>
      <c r="N10" s="68"/>
      <c r="O10" s="68"/>
      <c r="P10" s="68"/>
    </row>
    <row r="11" spans="1:16" ht="11.15" customHeight="1">
      <c r="A11" s="398"/>
      <c r="B11" s="398"/>
      <c r="C11" s="137" t="s">
        <v>6</v>
      </c>
      <c r="D11" s="288">
        <v>10613</v>
      </c>
      <c r="E11" s="113">
        <v>4782.5398669999995</v>
      </c>
      <c r="F11" s="113">
        <v>52867.058821999999</v>
      </c>
      <c r="G11" s="282">
        <f>E11/$E$14</f>
        <v>0.19588559037114764</v>
      </c>
      <c r="H11" s="282">
        <f t="shared" ref="H11:H13" si="0">(E11-I11)/I11</f>
        <v>0.18931305250413921</v>
      </c>
      <c r="I11" s="288">
        <v>4021.2624060000003</v>
      </c>
      <c r="J11" s="113">
        <v>44040.704557000005</v>
      </c>
      <c r="K11" s="282">
        <f>I11/$I$14</f>
        <v>0.18460414851499138</v>
      </c>
      <c r="L11" s="68"/>
      <c r="N11" s="68"/>
      <c r="O11" s="68"/>
      <c r="P11" s="68"/>
    </row>
    <row r="12" spans="1:16" ht="11.15" customHeight="1">
      <c r="A12" s="398"/>
      <c r="B12" s="398"/>
      <c r="C12" s="137" t="s">
        <v>7</v>
      </c>
      <c r="D12" s="288">
        <v>105318</v>
      </c>
      <c r="E12" s="113">
        <v>7356.4742770000003</v>
      </c>
      <c r="F12" s="113">
        <v>81307.554098000008</v>
      </c>
      <c r="G12" s="282">
        <f>E12/$E$14</f>
        <v>0.30131004589079086</v>
      </c>
      <c r="H12" s="282">
        <f t="shared" si="0"/>
        <v>0.23502987309482859</v>
      </c>
      <c r="I12" s="288">
        <v>5956.5152529999996</v>
      </c>
      <c r="J12" s="113">
        <v>65233.360786000005</v>
      </c>
      <c r="K12" s="282">
        <f>I12/$I$14</f>
        <v>0.27344582754807251</v>
      </c>
      <c r="L12" s="68"/>
      <c r="N12" s="68"/>
      <c r="O12" s="68"/>
      <c r="P12" s="68"/>
    </row>
    <row r="13" spans="1:16" ht="11.15" customHeight="1">
      <c r="A13" s="398"/>
      <c r="B13" s="398"/>
      <c r="C13" s="137" t="s">
        <v>90</v>
      </c>
      <c r="D13" s="288">
        <v>15</v>
      </c>
      <c r="E13" s="113">
        <v>145.86799999999999</v>
      </c>
      <c r="F13" s="113">
        <v>1613.1463940000001</v>
      </c>
      <c r="G13" s="282">
        <f>E13/$E$14</f>
        <v>5.9745323804654788E-3</v>
      </c>
      <c r="H13" s="282">
        <f t="shared" si="0"/>
        <v>-6.0649382429839173E-2</v>
      </c>
      <c r="I13" s="288">
        <v>155.286</v>
      </c>
      <c r="J13" s="113">
        <v>1701.0385940000001</v>
      </c>
      <c r="K13" s="282">
        <f>I13/$I$14</f>
        <v>7.1287165352667981E-3</v>
      </c>
      <c r="L13" s="68"/>
      <c r="N13" s="68"/>
      <c r="O13" s="68"/>
      <c r="P13" s="68"/>
    </row>
    <row r="14" spans="1:16" ht="11.15" customHeight="1">
      <c r="A14" s="399"/>
      <c r="B14" s="399"/>
      <c r="C14" s="293" t="s">
        <v>0</v>
      </c>
      <c r="D14" s="296">
        <v>116322</v>
      </c>
      <c r="E14" s="294">
        <v>24414.965174000001</v>
      </c>
      <c r="F14" s="294">
        <v>269874.67280999996</v>
      </c>
      <c r="G14" s="295">
        <f>SUM(G9:G13)</f>
        <v>0.99999999999999989</v>
      </c>
      <c r="H14" s="295">
        <f>(E14-I14)/I14</f>
        <v>0.12081814164739139</v>
      </c>
      <c r="I14" s="296">
        <v>21783.163804</v>
      </c>
      <c r="J14" s="294">
        <v>238566.04039200002</v>
      </c>
      <c r="K14" s="295">
        <f>SUM(K9:K13)</f>
        <v>1</v>
      </c>
      <c r="L14" s="68"/>
    </row>
    <row r="15" spans="1:16" ht="11.15" customHeight="1">
      <c r="A15" s="397" t="str">
        <f>'3.1'!E5</f>
        <v>Listopad</v>
      </c>
      <c r="B15" s="397"/>
      <c r="C15" s="147" t="s">
        <v>4</v>
      </c>
      <c r="D15" s="287">
        <v>79</v>
      </c>
      <c r="E15" s="283">
        <v>9435.8408440000003</v>
      </c>
      <c r="F15" s="283">
        <v>103888.44833</v>
      </c>
      <c r="G15" s="284">
        <f>E15/$E$20</f>
        <v>0.28672582371447364</v>
      </c>
      <c r="H15" s="284">
        <f>(E15-I15)/I15</f>
        <v>-2.9918982112686329E-2</v>
      </c>
      <c r="I15" s="287">
        <v>9726.8585509999994</v>
      </c>
      <c r="J15" s="283">
        <v>106161.27289000001</v>
      </c>
      <c r="K15" s="284">
        <f>I15/$I$20</f>
        <v>0.29442148293485676</v>
      </c>
      <c r="L15" s="68"/>
      <c r="M15" s="68"/>
    </row>
    <row r="16" spans="1:16" ht="11.15" customHeight="1">
      <c r="A16" s="398"/>
      <c r="B16" s="398"/>
      <c r="C16" s="137" t="s">
        <v>5</v>
      </c>
      <c r="D16" s="288">
        <v>297</v>
      </c>
      <c r="E16" s="113">
        <v>4457.286478</v>
      </c>
      <c r="F16" s="113">
        <v>49077.884649</v>
      </c>
      <c r="G16" s="282">
        <f>E16/$E$20</f>
        <v>0.13544305781170454</v>
      </c>
      <c r="H16" s="282">
        <f>(E16-I16)/I16</f>
        <v>7.7264514417307931E-2</v>
      </c>
      <c r="I16" s="288">
        <v>4137.5970509999997</v>
      </c>
      <c r="J16" s="113">
        <v>45155.937582999999</v>
      </c>
      <c r="K16" s="282">
        <f>I16/$I$20</f>
        <v>0.12524058545264541</v>
      </c>
      <c r="L16" s="86"/>
      <c r="M16" s="68"/>
    </row>
    <row r="17" spans="1:20" ht="11.15" customHeight="1">
      <c r="A17" s="398"/>
      <c r="B17" s="398"/>
      <c r="C17" s="137" t="s">
        <v>6</v>
      </c>
      <c r="D17" s="288">
        <v>10610</v>
      </c>
      <c r="E17" s="113">
        <v>7398.4999550000002</v>
      </c>
      <c r="F17" s="113">
        <v>81459.667723999999</v>
      </c>
      <c r="G17" s="282">
        <f>E17/$E$20</f>
        <v>0.22481737758408415</v>
      </c>
      <c r="H17" s="282">
        <f t="shared" ref="H17:H20" si="1">(E17-I17)/I17</f>
        <v>-1.2601047116009729E-2</v>
      </c>
      <c r="I17" s="288">
        <v>7492.9185749999997</v>
      </c>
      <c r="J17" s="113">
        <v>81778.487206000005</v>
      </c>
      <c r="K17" s="282">
        <f>I17/$I$20</f>
        <v>0.226802537200958</v>
      </c>
      <c r="L17" s="68"/>
      <c r="M17" s="68"/>
      <c r="N17" s="68"/>
      <c r="O17" s="68"/>
    </row>
    <row r="18" spans="1:20" ht="11.15" customHeight="1">
      <c r="A18" s="398"/>
      <c r="B18" s="398"/>
      <c r="C18" s="137" t="s">
        <v>7</v>
      </c>
      <c r="D18" s="288">
        <v>105281</v>
      </c>
      <c r="E18" s="113">
        <v>11481.116451</v>
      </c>
      <c r="F18" s="113">
        <v>126403.71782399999</v>
      </c>
      <c r="G18" s="282">
        <f>E18/$E$20</f>
        <v>0.34887538121926054</v>
      </c>
      <c r="H18" s="282">
        <f t="shared" si="1"/>
        <v>-3.579011466903325E-3</v>
      </c>
      <c r="I18" s="288">
        <v>11522.355092</v>
      </c>
      <c r="J18" s="113">
        <v>125758.896419</v>
      </c>
      <c r="K18" s="282">
        <f>I18/$I$20</f>
        <v>0.34876922032960672</v>
      </c>
      <c r="L18" s="68"/>
      <c r="M18" s="68"/>
      <c r="N18" s="68"/>
      <c r="O18" s="68"/>
    </row>
    <row r="19" spans="1:20" ht="11.15" customHeight="1">
      <c r="A19" s="398"/>
      <c r="B19" s="398"/>
      <c r="C19" s="137" t="s">
        <v>90</v>
      </c>
      <c r="D19" s="288">
        <v>15</v>
      </c>
      <c r="E19" s="113">
        <v>136.18900000000002</v>
      </c>
      <c r="F19" s="113">
        <v>1499.848943</v>
      </c>
      <c r="G19" s="282">
        <f>E19/$E$20</f>
        <v>4.1383596704771273E-3</v>
      </c>
      <c r="H19" s="282">
        <f t="shared" si="1"/>
        <v>-0.13509376925079855</v>
      </c>
      <c r="I19" s="288">
        <v>157.46100000000001</v>
      </c>
      <c r="J19" s="113">
        <v>1718.3133539999999</v>
      </c>
      <c r="K19" s="282">
        <f>I19/$I$20</f>
        <v>4.7661740819330937E-3</v>
      </c>
      <c r="L19" s="68"/>
      <c r="M19" s="68"/>
      <c r="N19" s="68"/>
      <c r="O19" s="68"/>
    </row>
    <row r="20" spans="1:20" ht="11.15" customHeight="1">
      <c r="A20" s="399"/>
      <c r="B20" s="399"/>
      <c r="C20" s="293" t="s">
        <v>0</v>
      </c>
      <c r="D20" s="296">
        <v>116282</v>
      </c>
      <c r="E20" s="294">
        <v>32908.932728</v>
      </c>
      <c r="F20" s="294">
        <v>362329.56747000001</v>
      </c>
      <c r="G20" s="295">
        <f>SUM(G15:G19)</f>
        <v>1</v>
      </c>
      <c r="H20" s="295">
        <f t="shared" si="1"/>
        <v>-3.8822169789768037E-3</v>
      </c>
      <c r="I20" s="296">
        <v>33037.190268999999</v>
      </c>
      <c r="J20" s="294">
        <v>360572.90745200001</v>
      </c>
      <c r="K20" s="295">
        <f>SUM(K15:K19)</f>
        <v>1</v>
      </c>
      <c r="L20" s="68"/>
      <c r="M20" s="68"/>
      <c r="N20" s="68"/>
      <c r="O20" s="68"/>
    </row>
    <row r="21" spans="1:20" ht="11.15" customHeight="1">
      <c r="A21" s="397" t="str">
        <f>'3.1'!F5</f>
        <v>Prosinec</v>
      </c>
      <c r="B21" s="397"/>
      <c r="C21" s="147" t="s">
        <v>4</v>
      </c>
      <c r="D21" s="287">
        <v>79</v>
      </c>
      <c r="E21" s="283">
        <v>9376.7574950000017</v>
      </c>
      <c r="F21" s="283">
        <v>102959.72713900001</v>
      </c>
      <c r="G21" s="284">
        <f>E21/$E$26</f>
        <v>0.2508947034031726</v>
      </c>
      <c r="H21" s="284">
        <f>(E21-I21)/I21</f>
        <v>-3.0047427800793419E-2</v>
      </c>
      <c r="I21" s="287">
        <v>9667.2329800000007</v>
      </c>
      <c r="J21" s="283">
        <v>105236.17095099999</v>
      </c>
      <c r="K21" s="284">
        <f>I21/$I$26</f>
        <v>0.25464818481862594</v>
      </c>
      <c r="L21" s="78"/>
      <c r="M21" s="78"/>
      <c r="N21" s="78"/>
      <c r="O21" s="78"/>
      <c r="P21" s="78"/>
      <c r="Q21" s="78"/>
      <c r="R21" s="78"/>
      <c r="S21" s="78"/>
      <c r="T21" s="78"/>
    </row>
    <row r="22" spans="1:20" ht="11.15" customHeight="1">
      <c r="A22" s="398"/>
      <c r="B22" s="398"/>
      <c r="C22" s="137" t="s">
        <v>5</v>
      </c>
      <c r="D22" s="288">
        <v>297</v>
      </c>
      <c r="E22" s="113">
        <v>4803.2287509999996</v>
      </c>
      <c r="F22" s="113">
        <v>52744.629618999999</v>
      </c>
      <c r="G22" s="282">
        <f>E22/$E$26</f>
        <v>0.12852040308201826</v>
      </c>
      <c r="H22" s="282">
        <f t="shared" ref="H22:H26" si="2">(E22-I22)/I22</f>
        <v>5.981109336460582E-2</v>
      </c>
      <c r="I22" s="288">
        <v>4532.1555710000002</v>
      </c>
      <c r="J22" s="113">
        <v>49335.405188000004</v>
      </c>
      <c r="K22" s="282">
        <f>I22/$I$26</f>
        <v>0.11938319805247657</v>
      </c>
      <c r="L22" s="78"/>
      <c r="M22" s="78"/>
      <c r="N22" s="78"/>
      <c r="O22" s="78"/>
      <c r="P22" s="78"/>
      <c r="Q22" s="78"/>
      <c r="R22" s="78"/>
      <c r="S22" s="78"/>
      <c r="T22" s="78"/>
    </row>
    <row r="23" spans="1:20" ht="11.15" customHeight="1">
      <c r="A23" s="398"/>
      <c r="B23" s="398"/>
      <c r="C23" s="137" t="s">
        <v>6</v>
      </c>
      <c r="D23" s="288">
        <v>10619</v>
      </c>
      <c r="E23" s="113">
        <v>8945.4761039999994</v>
      </c>
      <c r="F23" s="113">
        <v>98227.300067999997</v>
      </c>
      <c r="G23" s="282">
        <f>E23/$E$26</f>
        <v>0.23935487028538613</v>
      </c>
      <c r="H23" s="282">
        <f t="shared" si="2"/>
        <v>-1.9454212261325939E-2</v>
      </c>
      <c r="I23" s="288">
        <v>9122.9560270000002</v>
      </c>
      <c r="J23" s="113">
        <v>99311.187359000003</v>
      </c>
      <c r="K23" s="282">
        <f>I23/$I$26</f>
        <v>0.24031118286503669</v>
      </c>
      <c r="L23" s="78"/>
      <c r="M23" s="78"/>
      <c r="N23" s="78"/>
      <c r="O23" s="78"/>
      <c r="P23" s="78"/>
      <c r="Q23" s="78"/>
      <c r="R23" s="78"/>
      <c r="S23" s="78"/>
      <c r="T23" s="78"/>
    </row>
    <row r="24" spans="1:20" ht="11.15" customHeight="1">
      <c r="A24" s="398"/>
      <c r="B24" s="398"/>
      <c r="C24" s="137" t="s">
        <v>7</v>
      </c>
      <c r="D24" s="288">
        <v>105239</v>
      </c>
      <c r="E24" s="113">
        <v>14122.650634000001</v>
      </c>
      <c r="F24" s="113">
        <v>155060.397887</v>
      </c>
      <c r="G24" s="282">
        <f>E24/$E$26</f>
        <v>0.37788097260417175</v>
      </c>
      <c r="H24" s="282">
        <f t="shared" si="2"/>
        <v>-2.6708514994229625E-2</v>
      </c>
      <c r="I24" s="288">
        <v>14510.196432999999</v>
      </c>
      <c r="J24" s="113">
        <v>157958.76808800001</v>
      </c>
      <c r="K24" s="282">
        <f>I24/$I$26</f>
        <v>0.3822184890619188</v>
      </c>
      <c r="L24" s="78"/>
      <c r="M24" s="78"/>
      <c r="N24" s="78"/>
      <c r="O24" s="78"/>
      <c r="P24" s="78"/>
      <c r="Q24" s="78"/>
      <c r="R24" s="78"/>
      <c r="S24" s="78"/>
      <c r="T24" s="78"/>
    </row>
    <row r="25" spans="1:20" ht="11.15" customHeight="1">
      <c r="A25" s="398"/>
      <c r="B25" s="398"/>
      <c r="C25" s="137" t="s">
        <v>90</v>
      </c>
      <c r="D25" s="288">
        <v>15</v>
      </c>
      <c r="E25" s="113">
        <v>125.16500000000001</v>
      </c>
      <c r="F25" s="113">
        <v>1374.7928959999999</v>
      </c>
      <c r="G25" s="282">
        <f>E25/$E$26</f>
        <v>3.3490506252511431E-3</v>
      </c>
      <c r="H25" s="282">
        <f t="shared" si="2"/>
        <v>-4.1270595083988809E-2</v>
      </c>
      <c r="I25" s="288">
        <v>130.553</v>
      </c>
      <c r="J25" s="113">
        <v>1421.1876119999999</v>
      </c>
      <c r="K25" s="282">
        <f>I25/$I$26</f>
        <v>3.4389452019419598E-3</v>
      </c>
      <c r="L25" s="78"/>
      <c r="M25" s="78"/>
      <c r="N25" s="78"/>
      <c r="O25" s="78"/>
      <c r="P25" s="78"/>
      <c r="Q25" s="78"/>
      <c r="R25" s="78"/>
      <c r="S25" s="78"/>
      <c r="T25" s="78"/>
    </row>
    <row r="26" spans="1:20" ht="11.15" customHeight="1">
      <c r="A26" s="399"/>
      <c r="B26" s="399"/>
      <c r="C26" s="293" t="s">
        <v>0</v>
      </c>
      <c r="D26" s="296">
        <v>116249</v>
      </c>
      <c r="E26" s="294">
        <v>37373.277984000008</v>
      </c>
      <c r="F26" s="294">
        <v>410366.84760900005</v>
      </c>
      <c r="G26" s="295">
        <f>SUM(G21:G25)</f>
        <v>0.99999999999999989</v>
      </c>
      <c r="H26" s="295">
        <f t="shared" si="2"/>
        <v>-1.5536563664412898E-2</v>
      </c>
      <c r="I26" s="296">
        <v>37963.094011000001</v>
      </c>
      <c r="J26" s="294">
        <v>413262.71919799998</v>
      </c>
      <c r="K26" s="295">
        <f>SUM(K21:K25)</f>
        <v>1</v>
      </c>
    </row>
    <row r="27" spans="1:20" ht="11.15" customHeight="1">
      <c r="A27" s="467" t="str">
        <f>'3.1'!G5</f>
        <v>IV. čtvrtletí</v>
      </c>
      <c r="B27" s="397"/>
      <c r="C27" s="147" t="s">
        <v>4</v>
      </c>
      <c r="D27" s="287">
        <f>D21</f>
        <v>79</v>
      </c>
      <c r="E27" s="283">
        <f>E9+E15+E21</f>
        <v>27603.034681000001</v>
      </c>
      <c r="F27" s="283">
        <f>F9+F15+F21</f>
        <v>304011.411738</v>
      </c>
      <c r="G27" s="284">
        <f>E27/$E$32</f>
        <v>0.29148741155944891</v>
      </c>
      <c r="H27" s="284">
        <f>(E27-I27)/I27</f>
        <v>-2.5114267098610695E-2</v>
      </c>
      <c r="I27" s="287">
        <f>I9+I15+I21</f>
        <v>28314.123132000001</v>
      </c>
      <c r="J27" s="283">
        <f>J9+J15+J21</f>
        <v>309085.63277100003</v>
      </c>
      <c r="K27" s="284">
        <f>I27/$I$32</f>
        <v>0.30516351479378373</v>
      </c>
    </row>
    <row r="28" spans="1:20" ht="11.15" customHeight="1">
      <c r="A28" s="398"/>
      <c r="B28" s="398"/>
      <c r="C28" s="137" t="s">
        <v>5</v>
      </c>
      <c r="D28" s="288">
        <f>D22</f>
        <v>297</v>
      </c>
      <c r="E28" s="113">
        <f t="shared" ref="E28:F31" si="3">E10+E16+E22</f>
        <v>12600.161917000001</v>
      </c>
      <c r="F28" s="113">
        <f t="shared" si="3"/>
        <v>138746.19149499998</v>
      </c>
      <c r="G28" s="282">
        <f>E28/$E$32</f>
        <v>0.13305742013012667</v>
      </c>
      <c r="H28" s="282">
        <f t="shared" ref="H28:H31" si="4">(E28-I28)/I28</f>
        <v>0.10529470011161415</v>
      </c>
      <c r="I28" s="288">
        <f t="shared" ref="I28:J28" si="5">I10+I16+I22</f>
        <v>11399.821166</v>
      </c>
      <c r="J28" s="113">
        <f t="shared" si="5"/>
        <v>124394.09029600001</v>
      </c>
      <c r="K28" s="282">
        <f>I28/$I$32</f>
        <v>0.12286481480704786</v>
      </c>
    </row>
    <row r="29" spans="1:20" ht="11.15" customHeight="1">
      <c r="A29" s="398"/>
      <c r="B29" s="398"/>
      <c r="C29" s="137" t="s">
        <v>6</v>
      </c>
      <c r="D29" s="288">
        <f>D23</f>
        <v>10619</v>
      </c>
      <c r="E29" s="113">
        <f t="shared" si="3"/>
        <v>21126.515926</v>
      </c>
      <c r="F29" s="113">
        <f t="shared" si="3"/>
        <v>232554.02661399997</v>
      </c>
      <c r="G29" s="282">
        <f>E29/$E$32</f>
        <v>0.22309552242014999</v>
      </c>
      <c r="H29" s="282">
        <f t="shared" si="4"/>
        <v>2.3713508216294449E-2</v>
      </c>
      <c r="I29" s="288">
        <f t="shared" ref="I29:J29" si="6">I11+I17+I23</f>
        <v>20637.137007999998</v>
      </c>
      <c r="J29" s="113">
        <f t="shared" si="6"/>
        <v>225130.37912200001</v>
      </c>
      <c r="K29" s="282">
        <f>I29/$I$32</f>
        <v>0.22242261345274103</v>
      </c>
    </row>
    <row r="30" spans="1:20" ht="11.15" customHeight="1">
      <c r="A30" s="398"/>
      <c r="B30" s="398"/>
      <c r="C30" s="137" t="s">
        <v>7</v>
      </c>
      <c r="D30" s="288">
        <f>D24</f>
        <v>105239</v>
      </c>
      <c r="E30" s="113">
        <f t="shared" si="3"/>
        <v>32960.241362000001</v>
      </c>
      <c r="F30" s="113">
        <f t="shared" si="3"/>
        <v>362771.66980899998</v>
      </c>
      <c r="G30" s="282">
        <f>E30/$E$32</f>
        <v>0.34805939093346111</v>
      </c>
      <c r="H30" s="282">
        <f t="shared" si="4"/>
        <v>3.0359578500361601E-2</v>
      </c>
      <c r="I30" s="288">
        <f t="shared" ref="I30:J30" si="7">I12+I18+I24</f>
        <v>31989.066778</v>
      </c>
      <c r="J30" s="113">
        <f t="shared" si="7"/>
        <v>348951.02529300004</v>
      </c>
      <c r="K30" s="282">
        <f>I30/$I$32</f>
        <v>0.34477126511874417</v>
      </c>
    </row>
    <row r="31" spans="1:20" ht="11.15" customHeight="1">
      <c r="A31" s="398"/>
      <c r="B31" s="398"/>
      <c r="C31" s="137" t="s">
        <v>90</v>
      </c>
      <c r="D31" s="288">
        <f>D25</f>
        <v>15</v>
      </c>
      <c r="E31" s="113">
        <f>E13+E19+E25</f>
        <v>407.22200000000004</v>
      </c>
      <c r="F31" s="113">
        <f t="shared" si="3"/>
        <v>4487.7882330000002</v>
      </c>
      <c r="G31" s="282">
        <f>E31/$E$32</f>
        <v>4.300254956813381E-3</v>
      </c>
      <c r="H31" s="282">
        <f t="shared" si="4"/>
        <v>-8.1385066546356813E-2</v>
      </c>
      <c r="I31" s="288">
        <f>I13+I19+I25</f>
        <v>443.3</v>
      </c>
      <c r="J31" s="113">
        <f t="shared" ref="J31" si="8">J13+J19+J25</f>
        <v>4840.5395600000002</v>
      </c>
      <c r="K31" s="282">
        <f>I31/$I$32</f>
        <v>4.7777918276831607E-3</v>
      </c>
    </row>
    <row r="32" spans="1:20" ht="11.15" customHeight="1">
      <c r="A32" s="399"/>
      <c r="B32" s="399"/>
      <c r="C32" s="293" t="s">
        <v>0</v>
      </c>
      <c r="D32" s="296">
        <f>SUM(D27:D31)</f>
        <v>116249</v>
      </c>
      <c r="E32" s="294">
        <f>SUM(E27:E31)</f>
        <v>94697.175885999997</v>
      </c>
      <c r="F32" s="294">
        <f>SUM(F27:F31)</f>
        <v>1042571.0878889998</v>
      </c>
      <c r="G32" s="295">
        <f>SUM(G27:G31)</f>
        <v>1</v>
      </c>
      <c r="H32" s="295">
        <f>(E32-I32)/I32</f>
        <v>2.0625745663897199E-2</v>
      </c>
      <c r="I32" s="296">
        <f>SUM(I27:I31)</f>
        <v>92783.448084000003</v>
      </c>
      <c r="J32" s="294">
        <f>SUM(J27:J31)</f>
        <v>1012401.667042</v>
      </c>
      <c r="K32" s="295">
        <f>SUM(K27:K31)</f>
        <v>0.99999999999999989</v>
      </c>
    </row>
    <row r="33" spans="1:11" ht="10" customHeight="1">
      <c r="A33" s="332"/>
      <c r="B33" s="333"/>
      <c r="C33" s="334"/>
      <c r="D33" s="335"/>
      <c r="E33" s="335"/>
      <c r="F33" s="335"/>
      <c r="G33" s="336"/>
      <c r="H33" s="337"/>
      <c r="I33" s="335"/>
      <c r="J33" s="335"/>
      <c r="K33" s="336"/>
    </row>
    <row r="34" spans="1:11" ht="13" customHeight="1">
      <c r="A34" s="492" t="s">
        <v>46</v>
      </c>
      <c r="B34" s="492"/>
      <c r="C34" s="492"/>
      <c r="D34" s="457">
        <f>D4</f>
        <v>2025</v>
      </c>
      <c r="E34" s="328"/>
      <c r="F34" s="317"/>
      <c r="G34" s="317"/>
      <c r="H34" s="317"/>
      <c r="I34" s="457">
        <f>D34-1</f>
        <v>2024</v>
      </c>
      <c r="J34" s="458"/>
      <c r="K34" s="458"/>
    </row>
    <row r="35" spans="1:11" ht="25" customHeight="1">
      <c r="A35" s="279"/>
      <c r="B35" s="253"/>
      <c r="C35" s="133"/>
      <c r="D35" s="459"/>
      <c r="E35" s="329"/>
      <c r="F35" s="330"/>
      <c r="G35" s="330"/>
      <c r="H35" s="331"/>
      <c r="I35" s="459"/>
      <c r="J35" s="460"/>
      <c r="K35" s="460"/>
    </row>
    <row r="36" spans="1:11" ht="25" customHeight="1">
      <c r="A36" s="114"/>
      <c r="B36" s="115"/>
      <c r="C36" s="327"/>
      <c r="D36" s="338" t="s">
        <v>156</v>
      </c>
      <c r="E36" s="455" t="s">
        <v>59</v>
      </c>
      <c r="F36" s="455"/>
      <c r="G36" s="456" t="s">
        <v>32</v>
      </c>
      <c r="H36" s="456" t="s">
        <v>256</v>
      </c>
      <c r="I36" s="453" t="s">
        <v>59</v>
      </c>
      <c r="J36" s="454"/>
      <c r="K36" s="456" t="s">
        <v>32</v>
      </c>
    </row>
    <row r="37" spans="1:11" ht="25" customHeight="1">
      <c r="A37" s="114"/>
      <c r="B37" s="281"/>
      <c r="C37" s="281"/>
      <c r="D37" s="339"/>
      <c r="E37" s="455"/>
      <c r="F37" s="455"/>
      <c r="G37" s="456"/>
      <c r="H37" s="456"/>
      <c r="I37" s="453"/>
      <c r="J37" s="454"/>
      <c r="K37" s="456"/>
    </row>
    <row r="38" spans="1:11" ht="15" customHeight="1">
      <c r="A38" s="493" t="s">
        <v>155</v>
      </c>
      <c r="B38" s="493"/>
      <c r="C38" s="340" t="s">
        <v>180</v>
      </c>
      <c r="D38" s="318"/>
      <c r="E38" s="201" t="s">
        <v>247</v>
      </c>
      <c r="F38" s="201" t="s">
        <v>248</v>
      </c>
      <c r="G38" s="442"/>
      <c r="H38" s="442"/>
      <c r="I38" s="203" t="s">
        <v>247</v>
      </c>
      <c r="J38" s="201" t="s">
        <v>248</v>
      </c>
      <c r="K38" s="442"/>
    </row>
    <row r="39" spans="1:11" ht="11.15" customHeight="1">
      <c r="A39" s="397" t="str">
        <f>'3.1'!D5</f>
        <v>Říjen</v>
      </c>
      <c r="B39" s="397"/>
      <c r="C39" s="147" t="s">
        <v>4</v>
      </c>
      <c r="D39" s="287">
        <v>74</v>
      </c>
      <c r="E39" s="283">
        <v>11565.826999999999</v>
      </c>
      <c r="F39" s="283">
        <v>127789.28728</v>
      </c>
      <c r="G39" s="284">
        <f>E39/$E$44</f>
        <v>0.38292241781744862</v>
      </c>
      <c r="H39" s="284">
        <f>(E39-I39)/I39</f>
        <v>0.1438239161275551</v>
      </c>
      <c r="I39" s="287">
        <v>10111.545</v>
      </c>
      <c r="J39" s="283">
        <v>110726.72947000001</v>
      </c>
      <c r="K39" s="284">
        <f>I39/$I$44</f>
        <v>0.3944229471491596</v>
      </c>
    </row>
    <row r="40" spans="1:11" ht="11.15" customHeight="1">
      <c r="A40" s="398"/>
      <c r="B40" s="398"/>
      <c r="C40" s="137" t="s">
        <v>5</v>
      </c>
      <c r="D40" s="288">
        <v>264</v>
      </c>
      <c r="E40" s="113">
        <v>2693.348</v>
      </c>
      <c r="F40" s="113">
        <v>29758.25865</v>
      </c>
      <c r="G40" s="282">
        <f t="shared" ref="G40" si="9">E40/$E$44</f>
        <v>8.9171602530782254E-2</v>
      </c>
      <c r="H40" s="282">
        <f>(E40-I40)/I40</f>
        <v>0.14462482575731819</v>
      </c>
      <c r="I40" s="288">
        <v>2353.04</v>
      </c>
      <c r="J40" s="113">
        <v>25767.502469999999</v>
      </c>
      <c r="K40" s="282">
        <f t="shared" ref="K40:K43" si="10">I40/$I$44</f>
        <v>9.1785476063238461E-2</v>
      </c>
    </row>
    <row r="41" spans="1:11" ht="11.15" customHeight="1">
      <c r="A41" s="398"/>
      <c r="B41" s="398"/>
      <c r="C41" s="137" t="s">
        <v>6</v>
      </c>
      <c r="D41" s="288">
        <v>10569</v>
      </c>
      <c r="E41" s="113">
        <v>5360.6</v>
      </c>
      <c r="F41" s="113">
        <v>59228.261680000003</v>
      </c>
      <c r="G41" s="282">
        <f>E41/$E$44</f>
        <v>0.17747921639777384</v>
      </c>
      <c r="H41" s="282">
        <f t="shared" ref="H41:H43" si="11">(E41-I41)/I41</f>
        <v>0.1798354357804475</v>
      </c>
      <c r="I41" s="288">
        <v>4543.5150000000003</v>
      </c>
      <c r="J41" s="113">
        <v>49753.299359999997</v>
      </c>
      <c r="K41" s="282">
        <f t="shared" si="10"/>
        <v>0.177229748442638</v>
      </c>
    </row>
    <row r="42" spans="1:11" ht="11.15" customHeight="1">
      <c r="A42" s="398"/>
      <c r="B42" s="398"/>
      <c r="C42" s="137" t="s">
        <v>7</v>
      </c>
      <c r="D42" s="288">
        <v>139354</v>
      </c>
      <c r="E42" s="113">
        <v>10368.6</v>
      </c>
      <c r="F42" s="113">
        <v>114561.7</v>
      </c>
      <c r="G42" s="282">
        <f>E42/$E$44</f>
        <v>0.34328452097562917</v>
      </c>
      <c r="H42" s="282">
        <f t="shared" si="11"/>
        <v>0.23290407733742385</v>
      </c>
      <c r="I42" s="288">
        <v>8409.9</v>
      </c>
      <c r="J42" s="113">
        <v>92092.800000000003</v>
      </c>
      <c r="K42" s="282">
        <f t="shared" si="10"/>
        <v>0.32804655898082014</v>
      </c>
    </row>
    <row r="43" spans="1:11" ht="11.15" customHeight="1">
      <c r="A43" s="398"/>
      <c r="B43" s="398"/>
      <c r="C43" s="137" t="s">
        <v>90</v>
      </c>
      <c r="D43" s="288">
        <v>11</v>
      </c>
      <c r="E43" s="113">
        <v>215.72499999999999</v>
      </c>
      <c r="F43" s="113">
        <v>2383.51127</v>
      </c>
      <c r="G43" s="282">
        <f>E43/$E$44</f>
        <v>7.1422422783661826E-3</v>
      </c>
      <c r="H43" s="282">
        <f t="shared" si="11"/>
        <v>-1.1795693999083907E-2</v>
      </c>
      <c r="I43" s="288">
        <v>218.3</v>
      </c>
      <c r="J43" s="113">
        <v>2390.4964</v>
      </c>
      <c r="K43" s="282">
        <f t="shared" si="10"/>
        <v>8.515269364143813E-3</v>
      </c>
    </row>
    <row r="44" spans="1:11" ht="11.15" customHeight="1">
      <c r="A44" s="399"/>
      <c r="B44" s="399"/>
      <c r="C44" s="293" t="s">
        <v>0</v>
      </c>
      <c r="D44" s="296">
        <v>150272</v>
      </c>
      <c r="E44" s="294">
        <v>30204.1</v>
      </c>
      <c r="F44" s="294">
        <v>333721.01887999999</v>
      </c>
      <c r="G44" s="295">
        <f>SUM(G39:G43)</f>
        <v>1.0000000000000002</v>
      </c>
      <c r="H44" s="295">
        <f>(E44-I44)/I44</f>
        <v>0.17817703802810855</v>
      </c>
      <c r="I44" s="296">
        <v>25636.3</v>
      </c>
      <c r="J44" s="294">
        <v>280730.82770000002</v>
      </c>
      <c r="K44" s="295">
        <f>SUM(K39:K43)</f>
        <v>1</v>
      </c>
    </row>
    <row r="45" spans="1:11" ht="11.15" customHeight="1">
      <c r="A45" s="397" t="str">
        <f>'3.1'!E5</f>
        <v>Listopad</v>
      </c>
      <c r="B45" s="397"/>
      <c r="C45" s="147" t="s">
        <v>4</v>
      </c>
      <c r="D45" s="287">
        <v>74</v>
      </c>
      <c r="E45" s="283">
        <v>12783.814</v>
      </c>
      <c r="F45" s="283">
        <v>140729.91969000001</v>
      </c>
      <c r="G45" s="284">
        <f>E45/$E$50</f>
        <v>0.31264448156363644</v>
      </c>
      <c r="H45" s="284">
        <f>(E45-I45)/I45</f>
        <v>2.927394632544901E-2</v>
      </c>
      <c r="I45" s="287">
        <v>12420.225</v>
      </c>
      <c r="J45" s="283">
        <v>135567.51311</v>
      </c>
      <c r="K45" s="284">
        <f>I45/$I$50</f>
        <v>0.30424502303842677</v>
      </c>
    </row>
    <row r="46" spans="1:11" ht="11.15" customHeight="1">
      <c r="A46" s="398"/>
      <c r="B46" s="398"/>
      <c r="C46" s="137" t="s">
        <v>5</v>
      </c>
      <c r="D46" s="288">
        <v>265</v>
      </c>
      <c r="E46" s="113">
        <v>3429.4490000000001</v>
      </c>
      <c r="F46" s="113">
        <v>37752.394500000002</v>
      </c>
      <c r="G46" s="282">
        <f t="shared" ref="G46:G49" si="12">E46/$E$50</f>
        <v>8.3871550747995197E-2</v>
      </c>
      <c r="H46" s="282">
        <f>(E46-I46)/I46</f>
        <v>-9.7267876722941871E-4</v>
      </c>
      <c r="I46" s="288">
        <v>3432.788</v>
      </c>
      <c r="J46" s="113">
        <v>37468.744129999999</v>
      </c>
      <c r="K46" s="282">
        <f t="shared" ref="K46:K49" si="13">I46/$I$50</f>
        <v>8.4089351372139784E-2</v>
      </c>
    </row>
    <row r="47" spans="1:11" ht="11.15" customHeight="1">
      <c r="A47" s="398"/>
      <c r="B47" s="398"/>
      <c r="C47" s="137" t="s">
        <v>6</v>
      </c>
      <c r="D47" s="288">
        <v>10573</v>
      </c>
      <c r="E47" s="113">
        <v>8289.9650000000001</v>
      </c>
      <c r="F47" s="113">
        <v>91259.701639999999</v>
      </c>
      <c r="G47" s="282">
        <f t="shared" si="12"/>
        <v>0.20274167080385333</v>
      </c>
      <c r="H47" s="282">
        <f t="shared" ref="H47:H49" si="14">(E47-I47)/I47</f>
        <v>-1.8772418748035952E-2</v>
      </c>
      <c r="I47" s="288">
        <v>8448.5650000000005</v>
      </c>
      <c r="J47" s="113">
        <v>92216.225139999995</v>
      </c>
      <c r="K47" s="282">
        <f t="shared" si="13"/>
        <v>0.20695549823506787</v>
      </c>
    </row>
    <row r="48" spans="1:11" ht="11.15" customHeight="1">
      <c r="A48" s="398"/>
      <c r="B48" s="398"/>
      <c r="C48" s="137" t="s">
        <v>7</v>
      </c>
      <c r="D48" s="288">
        <v>139282</v>
      </c>
      <c r="E48" s="113">
        <v>16190.7</v>
      </c>
      <c r="F48" s="113">
        <v>178234</v>
      </c>
      <c r="G48" s="282">
        <f t="shared" si="12"/>
        <v>0.39596422535969067</v>
      </c>
      <c r="H48" s="282">
        <f t="shared" si="14"/>
        <v>-7.1258179053038228E-3</v>
      </c>
      <c r="I48" s="288">
        <v>16306.9</v>
      </c>
      <c r="J48" s="113">
        <v>177990.39999999999</v>
      </c>
      <c r="K48" s="282">
        <f t="shared" si="13"/>
        <v>0.39945276081434278</v>
      </c>
    </row>
    <row r="49" spans="1:11" ht="11.15" customHeight="1">
      <c r="A49" s="398"/>
      <c r="B49" s="398"/>
      <c r="C49" s="137" t="s">
        <v>90</v>
      </c>
      <c r="D49" s="288">
        <v>11</v>
      </c>
      <c r="E49" s="113">
        <v>195.37200000000001</v>
      </c>
      <c r="F49" s="113">
        <v>2150.7414600000002</v>
      </c>
      <c r="G49" s="282">
        <f t="shared" si="12"/>
        <v>4.7780715248243429E-3</v>
      </c>
      <c r="H49" s="282">
        <f t="shared" si="14"/>
        <v>-8.9692575784402345E-2</v>
      </c>
      <c r="I49" s="288">
        <v>214.62200000000001</v>
      </c>
      <c r="J49" s="113">
        <v>2342.6085600000001</v>
      </c>
      <c r="K49" s="282">
        <f t="shared" si="13"/>
        <v>5.2573665400226831E-3</v>
      </c>
    </row>
    <row r="50" spans="1:11" ht="11.15" customHeight="1">
      <c r="A50" s="399"/>
      <c r="B50" s="399"/>
      <c r="C50" s="293" t="s">
        <v>0</v>
      </c>
      <c r="D50" s="296">
        <v>150205</v>
      </c>
      <c r="E50" s="294">
        <v>40889.300000000003</v>
      </c>
      <c r="F50" s="294">
        <v>450126.75728999998</v>
      </c>
      <c r="G50" s="295">
        <f>SUM(G45:G49)</f>
        <v>1</v>
      </c>
      <c r="H50" s="295">
        <f t="shared" ref="H50" si="15">(E50-I50)/I50</f>
        <v>1.6216308903536742E-3</v>
      </c>
      <c r="I50" s="296">
        <v>40823.100000000006</v>
      </c>
      <c r="J50" s="294">
        <v>445585.49093999999</v>
      </c>
      <c r="K50" s="295">
        <f>SUM(K45:K49)</f>
        <v>0.99999999999999989</v>
      </c>
    </row>
    <row r="51" spans="1:11" ht="11.15" customHeight="1">
      <c r="A51" s="397" t="str">
        <f>'3.1'!F5</f>
        <v>Prosinec</v>
      </c>
      <c r="B51" s="397"/>
      <c r="C51" s="147" t="s">
        <v>4</v>
      </c>
      <c r="D51" s="287">
        <v>74</v>
      </c>
      <c r="E51" s="283">
        <v>13788.383</v>
      </c>
      <c r="F51" s="283">
        <v>151358.54926999999</v>
      </c>
      <c r="G51" s="284">
        <f>E51/$E$56</f>
        <v>0.29193131293456076</v>
      </c>
      <c r="H51" s="284">
        <f>(E51-I51)/I51</f>
        <v>-9.6930033033736252E-3</v>
      </c>
      <c r="I51" s="287">
        <v>13923.342000000001</v>
      </c>
      <c r="J51" s="283">
        <v>151576.50863999999</v>
      </c>
      <c r="K51" s="284">
        <f>I51/$I$56</f>
        <v>0.28619231536085082</v>
      </c>
    </row>
    <row r="52" spans="1:11" ht="11.15" customHeight="1">
      <c r="A52" s="398"/>
      <c r="B52" s="398"/>
      <c r="C52" s="137" t="s">
        <v>5</v>
      </c>
      <c r="D52" s="288">
        <v>265</v>
      </c>
      <c r="E52" s="113">
        <v>3347.431</v>
      </c>
      <c r="F52" s="113">
        <v>36745.872969999997</v>
      </c>
      <c r="G52" s="282">
        <f t="shared" ref="G52:G55" si="16">E52/$E$56</f>
        <v>7.0872699633296357E-2</v>
      </c>
      <c r="H52" s="282">
        <f t="shared" ref="H52:H55" si="17">(E52-I52)/I52</f>
        <v>-0.10641835752171001</v>
      </c>
      <c r="I52" s="288">
        <v>3746.0830000000001</v>
      </c>
      <c r="J52" s="113">
        <v>40782.301469999999</v>
      </c>
      <c r="K52" s="282">
        <f t="shared" ref="K52:K55" si="18">I52/$I$56</f>
        <v>7.7000203493092542E-2</v>
      </c>
    </row>
    <row r="53" spans="1:11" ht="11.15" customHeight="1">
      <c r="A53" s="398"/>
      <c r="B53" s="398"/>
      <c r="C53" s="137" t="s">
        <v>6</v>
      </c>
      <c r="D53" s="288">
        <v>10579</v>
      </c>
      <c r="E53" s="113">
        <v>9995.8709999999992</v>
      </c>
      <c r="F53" s="113">
        <v>109726.51166</v>
      </c>
      <c r="G53" s="282">
        <f t="shared" si="16"/>
        <v>0.21163523996646311</v>
      </c>
      <c r="H53" s="282">
        <f t="shared" si="17"/>
        <v>-2.4286844628266791E-2</v>
      </c>
      <c r="I53" s="288">
        <v>10244.682000000001</v>
      </c>
      <c r="J53" s="113">
        <v>111528.7836</v>
      </c>
      <c r="K53" s="282">
        <f t="shared" si="18"/>
        <v>0.2105779820473872</v>
      </c>
    </row>
    <row r="54" spans="1:11" ht="10.5" customHeight="1">
      <c r="A54" s="398"/>
      <c r="B54" s="398"/>
      <c r="C54" s="137" t="s">
        <v>7</v>
      </c>
      <c r="D54" s="288">
        <v>139225</v>
      </c>
      <c r="E54" s="113">
        <v>19913.5</v>
      </c>
      <c r="F54" s="113">
        <v>218595.1</v>
      </c>
      <c r="G54" s="282">
        <f t="shared" si="16"/>
        <v>0.42161391949457566</v>
      </c>
      <c r="H54" s="282">
        <f t="shared" si="17"/>
        <v>-3.0586414043559926E-2</v>
      </c>
      <c r="I54" s="288">
        <v>20541.8</v>
      </c>
      <c r="J54" s="113">
        <v>223628.4</v>
      </c>
      <c r="K54" s="282">
        <f t="shared" si="18"/>
        <v>0.42223377862007022</v>
      </c>
    </row>
    <row r="55" spans="1:11" ht="11.15" customHeight="1">
      <c r="A55" s="398"/>
      <c r="B55" s="398"/>
      <c r="C55" s="137" t="s">
        <v>90</v>
      </c>
      <c r="D55" s="288">
        <v>11</v>
      </c>
      <c r="E55" s="113">
        <v>186.41499999999999</v>
      </c>
      <c r="F55" s="113">
        <v>2046.3145199999999</v>
      </c>
      <c r="G55" s="282">
        <f t="shared" si="16"/>
        <v>3.9468279711040912E-3</v>
      </c>
      <c r="H55" s="282">
        <f t="shared" si="17"/>
        <v>-4.1040572448596442E-2</v>
      </c>
      <c r="I55" s="288">
        <v>194.393</v>
      </c>
      <c r="J55" s="113">
        <v>2116.2696099999998</v>
      </c>
      <c r="K55" s="282">
        <f t="shared" si="18"/>
        <v>3.9957204785993098E-3</v>
      </c>
    </row>
    <row r="56" spans="1:11" ht="11.15" customHeight="1">
      <c r="A56" s="399"/>
      <c r="B56" s="399"/>
      <c r="C56" s="293" t="s">
        <v>0</v>
      </c>
      <c r="D56" s="296">
        <v>150154</v>
      </c>
      <c r="E56" s="294">
        <v>47231.6</v>
      </c>
      <c r="F56" s="294">
        <v>518472.34842000005</v>
      </c>
      <c r="G56" s="295">
        <f>SUM(G51:G55)</f>
        <v>1</v>
      </c>
      <c r="H56" s="295">
        <f>(E56-I56)/I56</f>
        <v>-2.9161176806720559E-2</v>
      </c>
      <c r="I56" s="296">
        <v>48650.299999999996</v>
      </c>
      <c r="J56" s="294">
        <v>529632.26331999991</v>
      </c>
      <c r="K56" s="295">
        <f>SUM(K51:K55)</f>
        <v>1.0000000000000002</v>
      </c>
    </row>
    <row r="57" spans="1:11" ht="11.15" customHeight="1">
      <c r="A57" s="467" t="str">
        <f>'3.1'!G5</f>
        <v>IV. čtvrtletí</v>
      </c>
      <c r="B57" s="397"/>
      <c r="C57" s="147" t="s">
        <v>4</v>
      </c>
      <c r="D57" s="287">
        <f>D51</f>
        <v>74</v>
      </c>
      <c r="E57" s="283">
        <f>E39+E45+E51</f>
        <v>38138.023999999998</v>
      </c>
      <c r="F57" s="283">
        <f>F39+F45+F51</f>
        <v>419877.75624000002</v>
      </c>
      <c r="G57" s="284">
        <f>E57/$E$62</f>
        <v>0.32231585886330022</v>
      </c>
      <c r="H57" s="284">
        <f>(E57-I57)/I57</f>
        <v>4.6163950888424003E-2</v>
      </c>
      <c r="I57" s="287">
        <f>I39+I45+I51</f>
        <v>36455.112000000001</v>
      </c>
      <c r="J57" s="283">
        <f>J39+J45+J51</f>
        <v>397870.75121999998</v>
      </c>
      <c r="K57" s="284">
        <f>I57/$I$62</f>
        <v>0.31669887072939984</v>
      </c>
    </row>
    <row r="58" spans="1:11" ht="11.15" customHeight="1">
      <c r="A58" s="398"/>
      <c r="B58" s="398"/>
      <c r="C58" s="137" t="s">
        <v>5</v>
      </c>
      <c r="D58" s="288">
        <f>D52</f>
        <v>265</v>
      </c>
      <c r="E58" s="113">
        <f t="shared" ref="E58:F59" si="19">E40+E46+E52</f>
        <v>9470.228000000001</v>
      </c>
      <c r="F58" s="113">
        <f t="shared" si="19"/>
        <v>104256.52611999999</v>
      </c>
      <c r="G58" s="282">
        <f t="shared" ref="G58:G61" si="20">E58/$E$62</f>
        <v>8.0035732093809431E-2</v>
      </c>
      <c r="H58" s="282">
        <f t="shared" ref="H58:H61" si="21">(E58-I58)/I58</f>
        <v>-6.471210232659441E-3</v>
      </c>
      <c r="I58" s="288">
        <f t="shared" ref="I58:J58" si="22">I40+I46+I52</f>
        <v>9531.9110000000001</v>
      </c>
      <c r="J58" s="113">
        <f t="shared" si="22"/>
        <v>104018.54806999999</v>
      </c>
      <c r="K58" s="282">
        <f t="shared" ref="K58:K61" si="23">I58/$I$62</f>
        <v>8.2807191748393044E-2</v>
      </c>
    </row>
    <row r="59" spans="1:11" ht="11.15" customHeight="1">
      <c r="A59" s="398"/>
      <c r="B59" s="398"/>
      <c r="C59" s="137" t="s">
        <v>6</v>
      </c>
      <c r="D59" s="288">
        <f>D53</f>
        <v>10579</v>
      </c>
      <c r="E59" s="113">
        <f>E41+E47+E53</f>
        <v>23646.436000000002</v>
      </c>
      <c r="F59" s="113">
        <f t="shared" si="19"/>
        <v>260214.47498</v>
      </c>
      <c r="G59" s="282">
        <f t="shared" si="20"/>
        <v>0.19984311007817454</v>
      </c>
      <c r="H59" s="282">
        <f t="shared" si="21"/>
        <v>1.7630425443958115E-2</v>
      </c>
      <c r="I59" s="288">
        <f>I41+I47+I53</f>
        <v>23236.762000000002</v>
      </c>
      <c r="J59" s="113">
        <f t="shared" ref="J59" si="24">J41+J47+J53</f>
        <v>253498.30809999999</v>
      </c>
      <c r="K59" s="282">
        <f t="shared" si="23"/>
        <v>0.20186623716333202</v>
      </c>
    </row>
    <row r="60" spans="1:11" ht="11.15" customHeight="1">
      <c r="A60" s="398"/>
      <c r="B60" s="398"/>
      <c r="C60" s="137" t="s">
        <v>7</v>
      </c>
      <c r="D60" s="288">
        <f>D54</f>
        <v>139225</v>
      </c>
      <c r="E60" s="113">
        <f t="shared" ref="E60:F61" si="25">E42+E48+E54</f>
        <v>46472.800000000003</v>
      </c>
      <c r="F60" s="113">
        <f t="shared" si="25"/>
        <v>511390.80000000005</v>
      </c>
      <c r="G60" s="282">
        <f t="shared" si="20"/>
        <v>0.3927555461652229</v>
      </c>
      <c r="H60" s="282">
        <f t="shared" si="21"/>
        <v>2.6828050359489784E-2</v>
      </c>
      <c r="I60" s="288">
        <f t="shared" ref="I60:J60" si="26">I42+I48+I54</f>
        <v>45258.6</v>
      </c>
      <c r="J60" s="113">
        <f t="shared" si="26"/>
        <v>493711.6</v>
      </c>
      <c r="K60" s="282">
        <f t="shared" si="23"/>
        <v>0.39317798586913172</v>
      </c>
    </row>
    <row r="61" spans="1:11" ht="11.15" customHeight="1">
      <c r="A61" s="398"/>
      <c r="B61" s="398"/>
      <c r="C61" s="137" t="s">
        <v>90</v>
      </c>
      <c r="D61" s="288">
        <f>D55</f>
        <v>11</v>
      </c>
      <c r="E61" s="113">
        <f>E43+E49+E55</f>
        <v>597.51199999999994</v>
      </c>
      <c r="F61" s="113">
        <f t="shared" si="25"/>
        <v>6580.5672500000001</v>
      </c>
      <c r="G61" s="282">
        <f t="shared" si="20"/>
        <v>5.0497527994929218E-3</v>
      </c>
      <c r="H61" s="282">
        <f t="shared" si="21"/>
        <v>-4.7508827303667386E-2</v>
      </c>
      <c r="I61" s="288">
        <f>I43+I49+I55</f>
        <v>627.31500000000005</v>
      </c>
      <c r="J61" s="113">
        <f t="shared" ref="J61" si="27">J43+J49+J55</f>
        <v>6849.3745699999999</v>
      </c>
      <c r="K61" s="282">
        <f t="shared" si="23"/>
        <v>5.449714489743262E-3</v>
      </c>
    </row>
    <row r="62" spans="1:11" ht="11.15" customHeight="1">
      <c r="A62" s="399"/>
      <c r="B62" s="399"/>
      <c r="C62" s="293" t="s">
        <v>0</v>
      </c>
      <c r="D62" s="296">
        <f>SUM(D57:D61)</f>
        <v>150154</v>
      </c>
      <c r="E62" s="294">
        <f>SUM(E57:E61)</f>
        <v>118325</v>
      </c>
      <c r="F62" s="294">
        <f>SUM(F57:F61)</f>
        <v>1302320.1245900001</v>
      </c>
      <c r="G62" s="295">
        <f>SUM(G57:G61)</f>
        <v>1</v>
      </c>
      <c r="H62" s="295">
        <f>(E62-I62)/I62</f>
        <v>2.793248527274407E-2</v>
      </c>
      <c r="I62" s="296">
        <f>SUM(I57:I61)</f>
        <v>115109.70000000001</v>
      </c>
      <c r="J62" s="294">
        <f>SUM(J57:J61)</f>
        <v>1255948.5819600001</v>
      </c>
      <c r="K62" s="295">
        <f>SUM(K57:K61)</f>
        <v>0.99999999999999989</v>
      </c>
    </row>
    <row r="63" spans="1:11" ht="15" customHeight="1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1" ht="15" customHeight="1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I34:K35"/>
    <mergeCell ref="A51:B56"/>
    <mergeCell ref="I36:J37"/>
    <mergeCell ref="K36:K38"/>
    <mergeCell ref="A57:B62"/>
    <mergeCell ref="A39:B44"/>
    <mergeCell ref="A45:B50"/>
    <mergeCell ref="A27:B32"/>
    <mergeCell ref="H36:H38"/>
    <mergeCell ref="A38:B38"/>
    <mergeCell ref="E36:F37"/>
    <mergeCell ref="G36:G38"/>
    <mergeCell ref="A34:C34"/>
    <mergeCell ref="D34:D35"/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30"/>
  <dimension ref="A1:P57"/>
  <sheetViews>
    <sheetView showGridLines="0" topLeftCell="A6" zoomScaleNormal="100" zoomScaleSheetLayoutView="100" workbookViewId="0">
      <selection activeCell="G1" sqref="G1"/>
    </sheetView>
  </sheetViews>
  <sheetFormatPr defaultColWidth="9.1796875" defaultRowHeight="12.5"/>
  <cols>
    <col min="1" max="1" width="16.26953125" style="67" customWidth="1"/>
    <col min="2" max="2" width="10.26953125" style="67" customWidth="1"/>
    <col min="3" max="3" width="10" style="67" customWidth="1"/>
    <col min="4" max="4" width="10.7265625" style="67" customWidth="1"/>
    <col min="5" max="6" width="8.54296875" style="67" customWidth="1"/>
    <col min="7" max="10" width="6.7265625" style="67" customWidth="1"/>
    <col min="11" max="11" width="8.1796875" style="67" customWidth="1"/>
    <col min="12" max="13" width="9.1796875" style="67"/>
    <col min="14" max="14" width="11.1796875" style="67" customWidth="1"/>
    <col min="15" max="16384" width="9.1796875" style="67"/>
  </cols>
  <sheetData>
    <row r="1" spans="1:11" s="93" customFormat="1" ht="18">
      <c r="A1" s="471" t="str">
        <f>"6.8 Spotřeba zemního plynu a teplota ovzduší podle krajů: "&amp;LOWER(A3)</f>
        <v>6.8 Spotřeba zemního plynu a teplota ovzduší podle krajů: říjen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</row>
    <row r="2" spans="1:11" ht="6" customHeight="1">
      <c r="A2" s="475"/>
      <c r="B2" s="475"/>
      <c r="C2" s="275"/>
      <c r="D2" s="276"/>
      <c r="E2" s="277"/>
      <c r="F2" s="277"/>
      <c r="G2" s="277"/>
      <c r="H2" s="277"/>
    </row>
    <row r="3" spans="1:11" ht="20.149999999999999" customHeight="1">
      <c r="A3" s="438" t="str">
        <f>'3.1'!D5</f>
        <v>Říjen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</row>
    <row r="4" spans="1:11" ht="20.149999999999999" customHeight="1">
      <c r="A4" s="112"/>
      <c r="B4" s="233">
        <f>'3.1'!A4</f>
        <v>2025</v>
      </c>
      <c r="C4" s="494" t="s">
        <v>59</v>
      </c>
      <c r="D4" s="495"/>
      <c r="E4" s="495"/>
      <c r="F4" s="496"/>
      <c r="G4" s="497" t="s">
        <v>182</v>
      </c>
      <c r="H4" s="497"/>
      <c r="I4" s="497"/>
      <c r="J4" s="497"/>
      <c r="K4" s="497"/>
    </row>
    <row r="5" spans="1:11" ht="49.5" customHeight="1">
      <c r="A5" s="253"/>
      <c r="B5" s="456" t="s">
        <v>181</v>
      </c>
      <c r="C5" s="320"/>
      <c r="D5" s="321"/>
      <c r="E5" s="456" t="s">
        <v>265</v>
      </c>
      <c r="F5" s="476" t="s">
        <v>268</v>
      </c>
      <c r="G5" s="343" t="s">
        <v>61</v>
      </c>
      <c r="H5" s="343" t="s">
        <v>170</v>
      </c>
      <c r="I5" s="343" t="s">
        <v>171</v>
      </c>
      <c r="J5" s="343" t="s">
        <v>270</v>
      </c>
      <c r="K5" s="343" t="s">
        <v>271</v>
      </c>
    </row>
    <row r="6" spans="1:11" ht="15" customHeight="1">
      <c r="A6" s="201" t="s">
        <v>183</v>
      </c>
      <c r="B6" s="442"/>
      <c r="C6" s="203" t="s">
        <v>247</v>
      </c>
      <c r="D6" s="201" t="s">
        <v>248</v>
      </c>
      <c r="E6" s="442"/>
      <c r="F6" s="477"/>
      <c r="G6" s="201" t="s">
        <v>218</v>
      </c>
      <c r="H6" s="201" t="s">
        <v>218</v>
      </c>
      <c r="I6" s="201" t="s">
        <v>218</v>
      </c>
      <c r="J6" s="201" t="s">
        <v>218</v>
      </c>
      <c r="K6" s="201" t="s">
        <v>218</v>
      </c>
    </row>
    <row r="7" spans="1:11" ht="14.15" customHeight="1">
      <c r="A7" s="137" t="s">
        <v>8</v>
      </c>
      <c r="B7" s="113">
        <f>'6.1'!D14</f>
        <v>101620</v>
      </c>
      <c r="C7" s="288">
        <f>'6.1'!E14</f>
        <v>22502.120826000002</v>
      </c>
      <c r="D7" s="113">
        <f>'6.1'!F14</f>
        <v>249508.96631399999</v>
      </c>
      <c r="E7" s="282">
        <f>D7/$D$21</f>
        <v>3.7706817063357018E-2</v>
      </c>
      <c r="F7" s="307">
        <f>'6.1'!H14</f>
        <v>0.17348983723175088</v>
      </c>
      <c r="G7" s="301">
        <v>7.6451612903225801</v>
      </c>
      <c r="H7" s="302">
        <v>11.4</v>
      </c>
      <c r="I7" s="302">
        <v>3.2</v>
      </c>
      <c r="J7" s="302">
        <v>7.5</v>
      </c>
      <c r="K7" s="301">
        <v>0.14516129032258007</v>
      </c>
    </row>
    <row r="8" spans="1:11" ht="14.15" customHeight="1">
      <c r="A8" s="137" t="s">
        <v>9</v>
      </c>
      <c r="B8" s="113">
        <f>'6.1'!D44</f>
        <v>367376</v>
      </c>
      <c r="C8" s="288">
        <f>'6.1'!E44</f>
        <v>75733.3</v>
      </c>
      <c r="D8" s="113">
        <f>'6.1'!F44</f>
        <v>836765.76994999987</v>
      </c>
      <c r="E8" s="282">
        <f t="shared" ref="E8:E20" si="0">D8/$D$21</f>
        <v>0.12645547083336761</v>
      </c>
      <c r="F8" s="307">
        <f>'6.1'!H44</f>
        <v>5.6080507283660888E-2</v>
      </c>
      <c r="G8" s="301">
        <v>9.1322580645161295</v>
      </c>
      <c r="H8" s="302">
        <v>13.6</v>
      </c>
      <c r="I8" s="302">
        <v>4.4000000000000004</v>
      </c>
      <c r="J8" s="302">
        <v>8.9</v>
      </c>
      <c r="K8" s="301">
        <v>0.23225806451612918</v>
      </c>
    </row>
    <row r="9" spans="1:11" ht="14.15" customHeight="1">
      <c r="A9" s="137" t="s">
        <v>10</v>
      </c>
      <c r="B9" s="113">
        <f>'6.2'!D14</f>
        <v>80767</v>
      </c>
      <c r="C9" s="288">
        <f>'6.2'!E14</f>
        <v>23527.199999999997</v>
      </c>
      <c r="D9" s="113">
        <f>'6.2'!F14</f>
        <v>259949.05700999999</v>
      </c>
      <c r="E9" s="282">
        <f t="shared" si="0"/>
        <v>3.928456633551549E-2</v>
      </c>
      <c r="F9" s="307">
        <f>'6.2'!H14</f>
        <v>0.47387676347507929</v>
      </c>
      <c r="G9" s="301">
        <v>7.1419354838709648</v>
      </c>
      <c r="H9" s="302">
        <v>11.8</v>
      </c>
      <c r="I9" s="302">
        <v>2.6</v>
      </c>
      <c r="J9" s="302">
        <v>7</v>
      </c>
      <c r="K9" s="301">
        <v>0.14193548387096477</v>
      </c>
    </row>
    <row r="10" spans="1:11" ht="14.15" customHeight="1">
      <c r="A10" s="137" t="s">
        <v>89</v>
      </c>
      <c r="B10" s="113">
        <f>'6.2'!D44</f>
        <v>113292</v>
      </c>
      <c r="C10" s="288">
        <f>'6.2'!E44</f>
        <v>28958.6</v>
      </c>
      <c r="D10" s="113">
        <f>'6.2'!F44</f>
        <v>319959.91823000007</v>
      </c>
      <c r="E10" s="282">
        <f t="shared" si="0"/>
        <v>4.8353653508075682E-2</v>
      </c>
      <c r="F10" s="307">
        <f>'6.2'!H44</f>
        <v>0.27327488414221252</v>
      </c>
      <c r="G10" s="301">
        <v>7.6354838709677431</v>
      </c>
      <c r="H10" s="302">
        <v>11.2</v>
      </c>
      <c r="I10" s="302">
        <v>2.4</v>
      </c>
      <c r="J10" s="302">
        <v>7.8000000000000043</v>
      </c>
      <c r="K10" s="301">
        <v>-0.1645161290322612</v>
      </c>
    </row>
    <row r="11" spans="1:11" ht="14.15" customHeight="1">
      <c r="A11" s="137" t="s">
        <v>11</v>
      </c>
      <c r="B11" s="113">
        <f>'6.3'!D14</f>
        <v>89453</v>
      </c>
      <c r="C11" s="288">
        <f>'6.3'!E14</f>
        <v>23301.972999999998</v>
      </c>
      <c r="D11" s="113">
        <f>'6.3'!F14</f>
        <v>257454.42376999999</v>
      </c>
      <c r="E11" s="282">
        <f t="shared" si="0"/>
        <v>3.8907567141416508E-2</v>
      </c>
      <c r="F11" s="307">
        <f>'6.3'!H14</f>
        <v>0.14359388167239742</v>
      </c>
      <c r="G11" s="301">
        <v>8.0193548387096758</v>
      </c>
      <c r="H11" s="302">
        <v>11.5</v>
      </c>
      <c r="I11" s="302">
        <v>3.2</v>
      </c>
      <c r="J11" s="302">
        <v>7.8000000000000043</v>
      </c>
      <c r="K11" s="301">
        <v>0.21935483870967154</v>
      </c>
    </row>
    <row r="12" spans="1:11" ht="14.15" customHeight="1">
      <c r="A12" s="137" t="s">
        <v>12</v>
      </c>
      <c r="B12" s="113">
        <f>'6.3'!D44</f>
        <v>362745</v>
      </c>
      <c r="C12" s="288">
        <f>'6.3'!E44</f>
        <v>71080.040999999997</v>
      </c>
      <c r="D12" s="113">
        <f>'6.3'!F44</f>
        <v>785027.74225999997</v>
      </c>
      <c r="E12" s="282">
        <f t="shared" si="0"/>
        <v>0.11863660815221408</v>
      </c>
      <c r="F12" s="307">
        <f>'6.3'!H44</f>
        <v>0.24099051098488114</v>
      </c>
      <c r="G12" s="301">
        <v>7.977419354838708</v>
      </c>
      <c r="H12" s="302">
        <v>13.5</v>
      </c>
      <c r="I12" s="302">
        <v>2.8</v>
      </c>
      <c r="J12" s="302">
        <v>8.1999999999999957</v>
      </c>
      <c r="K12" s="301">
        <v>-0.22258064516128773</v>
      </c>
    </row>
    <row r="13" spans="1:11" ht="14.15" customHeight="1">
      <c r="A13" s="137" t="s">
        <v>13</v>
      </c>
      <c r="B13" s="113">
        <f>'6.4'!D14</f>
        <v>179563</v>
      </c>
      <c r="C13" s="288">
        <f>'6.4'!E14</f>
        <v>39720.500000000007</v>
      </c>
      <c r="D13" s="113">
        <f>'6.4'!F14</f>
        <v>438866.37842000002</v>
      </c>
      <c r="E13" s="282">
        <f t="shared" si="0"/>
        <v>6.6323284853480755E-2</v>
      </c>
      <c r="F13" s="307">
        <f>'6.4'!H14</f>
        <v>0.25576877326182018</v>
      </c>
      <c r="G13" s="301">
        <v>8.0870967741935473</v>
      </c>
      <c r="H13" s="302">
        <v>11.7</v>
      </c>
      <c r="I13" s="302">
        <v>3.3</v>
      </c>
      <c r="J13" s="302">
        <v>7.6999999999999957</v>
      </c>
      <c r="K13" s="301">
        <v>0.3870967741935516</v>
      </c>
    </row>
    <row r="14" spans="1:11" ht="14.15" customHeight="1">
      <c r="A14" s="137" t="s">
        <v>14</v>
      </c>
      <c r="B14" s="113">
        <f>'6.4'!D44</f>
        <v>131294</v>
      </c>
      <c r="C14" s="288">
        <f>'6.4'!E44</f>
        <v>27658.485000000001</v>
      </c>
      <c r="D14" s="113">
        <f>'6.4'!F44</f>
        <v>305598.13635799999</v>
      </c>
      <c r="E14" s="282">
        <f t="shared" si="0"/>
        <v>4.6183242200812935E-2</v>
      </c>
      <c r="F14" s="307">
        <f>'6.4'!H44</f>
        <v>0.19493679362665484</v>
      </c>
      <c r="G14" s="301">
        <v>8.1548387096774171</v>
      </c>
      <c r="H14" s="302">
        <v>11.7</v>
      </c>
      <c r="I14" s="302">
        <v>3.5</v>
      </c>
      <c r="J14" s="302">
        <v>8.4000000000000021</v>
      </c>
      <c r="K14" s="301">
        <v>-0.24516129032258505</v>
      </c>
    </row>
    <row r="15" spans="1:11" ht="14.15" customHeight="1">
      <c r="A15" s="137" t="s">
        <v>15</v>
      </c>
      <c r="B15" s="113">
        <f>'6.5'!D14</f>
        <v>153750</v>
      </c>
      <c r="C15" s="288">
        <f>'6.5'!E14</f>
        <v>27885.8</v>
      </c>
      <c r="D15" s="113">
        <f>'6.5'!F14</f>
        <v>308106.48082</v>
      </c>
      <c r="E15" s="282">
        <f t="shared" si="0"/>
        <v>4.6562313490946416E-2</v>
      </c>
      <c r="F15" s="307">
        <f>'6.5'!H14</f>
        <v>9.559300192121066E-2</v>
      </c>
      <c r="G15" s="301">
        <v>8.241935483870968</v>
      </c>
      <c r="H15" s="302">
        <v>13.1</v>
      </c>
      <c r="I15" s="302">
        <v>3.8</v>
      </c>
      <c r="J15" s="302">
        <v>7.6999999999999957</v>
      </c>
      <c r="K15" s="301">
        <v>0.54193548387097223</v>
      </c>
    </row>
    <row r="16" spans="1:11" ht="14.15" customHeight="1">
      <c r="A16" s="137" t="s">
        <v>1</v>
      </c>
      <c r="B16" s="113">
        <f>'6.5'!D44</f>
        <v>369657</v>
      </c>
      <c r="C16" s="288">
        <f>'6.5'!E44</f>
        <v>53363.007246884001</v>
      </c>
      <c r="D16" s="113">
        <f>'6.5'!F44</f>
        <v>590825.11016310309</v>
      </c>
      <c r="E16" s="282">
        <f t="shared" si="0"/>
        <v>8.9287910869389281E-2</v>
      </c>
      <c r="F16" s="307">
        <f>'6.5'!H44</f>
        <v>2.0328911940546004E-2</v>
      </c>
      <c r="G16" s="301">
        <v>10.077419354838709</v>
      </c>
      <c r="H16" s="302">
        <v>13.8</v>
      </c>
      <c r="I16" s="302">
        <v>5.8</v>
      </c>
      <c r="J16" s="302">
        <v>9</v>
      </c>
      <c r="K16" s="301">
        <v>1.0774193548387085</v>
      </c>
    </row>
    <row r="17" spans="1:16" ht="14.15" customHeight="1">
      <c r="A17" s="137" t="s">
        <v>16</v>
      </c>
      <c r="B17" s="113">
        <f>'6.6'!D14</f>
        <v>275274</v>
      </c>
      <c r="C17" s="288">
        <f>'6.6'!E14</f>
        <v>88189.926598649996</v>
      </c>
      <c r="D17" s="113">
        <f>'6.6'!F14</f>
        <v>974549.00360405003</v>
      </c>
      <c r="E17" s="282">
        <f t="shared" si="0"/>
        <v>0.1472778375103744</v>
      </c>
      <c r="F17" s="307">
        <f>'6.6'!H14</f>
        <v>0.10479059094269386</v>
      </c>
      <c r="G17" s="301">
        <v>8.8354838709677423</v>
      </c>
      <c r="H17" s="302">
        <v>12.5</v>
      </c>
      <c r="I17" s="302">
        <v>4.3</v>
      </c>
      <c r="J17" s="302">
        <v>8.6999999999999957</v>
      </c>
      <c r="K17" s="301">
        <v>0.13548387096774661</v>
      </c>
      <c r="L17" s="68"/>
      <c r="N17" s="68"/>
      <c r="O17" s="68"/>
      <c r="P17" s="68"/>
    </row>
    <row r="18" spans="1:16" ht="14.15" customHeight="1">
      <c r="A18" s="137" t="s">
        <v>17</v>
      </c>
      <c r="B18" s="113">
        <f>'6.6'!D44</f>
        <v>213438</v>
      </c>
      <c r="C18" s="288">
        <f>'6.6'!E44</f>
        <v>62171.625000000007</v>
      </c>
      <c r="D18" s="113">
        <f>'6.6'!F44</f>
        <v>686871.76361299993</v>
      </c>
      <c r="E18" s="282">
        <f t="shared" si="0"/>
        <v>0.10380287457865017</v>
      </c>
      <c r="F18" s="307">
        <f>'6.6'!H44</f>
        <v>-0.25025138292263183</v>
      </c>
      <c r="G18" s="301">
        <v>8.6709677419354865</v>
      </c>
      <c r="H18" s="302">
        <v>12.8</v>
      </c>
      <c r="I18" s="302">
        <v>3.9</v>
      </c>
      <c r="J18" s="302">
        <v>8.5999999999999979</v>
      </c>
      <c r="K18" s="301">
        <v>7.0967741935488604E-2</v>
      </c>
      <c r="L18" s="68"/>
      <c r="N18" s="68"/>
      <c r="O18" s="68"/>
      <c r="P18" s="68"/>
    </row>
    <row r="19" spans="1:16" ht="14.15" customHeight="1">
      <c r="A19" s="137" t="s">
        <v>18</v>
      </c>
      <c r="B19" s="113">
        <f>'6.7'!D14</f>
        <v>116322</v>
      </c>
      <c r="C19" s="288">
        <f>'6.7'!E14</f>
        <v>24414.965174000001</v>
      </c>
      <c r="D19" s="113">
        <f>'6.7'!F14</f>
        <v>269874.67280999996</v>
      </c>
      <c r="E19" s="282">
        <f t="shared" si="0"/>
        <v>4.078456605392547E-2</v>
      </c>
      <c r="F19" s="307">
        <f>'6.7'!H14</f>
        <v>0.12081814164739139</v>
      </c>
      <c r="G19" s="301">
        <v>7.4451612903225799</v>
      </c>
      <c r="H19" s="302">
        <v>11.3</v>
      </c>
      <c r="I19" s="302">
        <v>3.3</v>
      </c>
      <c r="J19" s="302">
        <v>7.4000000000000039</v>
      </c>
      <c r="K19" s="301">
        <v>4.5161290322575987E-2</v>
      </c>
      <c r="L19" s="68"/>
      <c r="N19" s="68"/>
      <c r="O19" s="68"/>
      <c r="P19" s="68"/>
    </row>
    <row r="20" spans="1:16" ht="14.15" customHeight="1">
      <c r="A20" s="142" t="s">
        <v>19</v>
      </c>
      <c r="B20" s="285">
        <f>'6.7'!D44</f>
        <v>150272</v>
      </c>
      <c r="C20" s="289">
        <f>'6.7'!E44</f>
        <v>30204.1</v>
      </c>
      <c r="D20" s="285">
        <f>'6.7'!F44</f>
        <v>333721.01887999999</v>
      </c>
      <c r="E20" s="286">
        <f t="shared" si="0"/>
        <v>5.0433287408474213E-2</v>
      </c>
      <c r="F20" s="308">
        <f>'6.7'!H44</f>
        <v>0.17817703802810855</v>
      </c>
      <c r="G20" s="303">
        <v>7.7129032258064507</v>
      </c>
      <c r="H20" s="304">
        <v>12</v>
      </c>
      <c r="I20" s="304">
        <v>2.9</v>
      </c>
      <c r="J20" s="304">
        <v>8.8000000000000043</v>
      </c>
      <c r="K20" s="303">
        <v>-1.0870967741935535</v>
      </c>
      <c r="L20" s="68"/>
    </row>
    <row r="21" spans="1:16" ht="14.15" customHeight="1">
      <c r="A21" s="137" t="s">
        <v>0</v>
      </c>
      <c r="B21" s="139">
        <f>SUM(B7:B20)</f>
        <v>2704823</v>
      </c>
      <c r="C21" s="288">
        <f>SUM(C7:C20)</f>
        <v>598711.64384553395</v>
      </c>
      <c r="D21" s="113">
        <f>SUM(D7:D20)</f>
        <v>6617078.4422021527</v>
      </c>
      <c r="E21" s="341">
        <f>SUM(E7:E20)</f>
        <v>1.0000000000000002</v>
      </c>
      <c r="F21" s="307"/>
      <c r="G21" s="237">
        <v>8.1129032258064484</v>
      </c>
      <c r="H21" s="237">
        <v>11.7</v>
      </c>
      <c r="I21" s="237">
        <v>3.7</v>
      </c>
      <c r="J21" s="237">
        <v>8.6774193548387117</v>
      </c>
      <c r="K21" s="237">
        <v>-0.56451612903226334</v>
      </c>
    </row>
    <row r="22" spans="1:16" ht="14.15" customHeight="1">
      <c r="A22" s="142" t="s">
        <v>91</v>
      </c>
      <c r="B22" s="342"/>
      <c r="C22" s="289">
        <f>'5.1'!E13</f>
        <v>6778.0740414860011</v>
      </c>
      <c r="D22" s="285">
        <f>'5.1'!F13</f>
        <v>74909.540072999996</v>
      </c>
      <c r="E22" s="342"/>
      <c r="F22" s="308">
        <f>'5.1'!H13</f>
        <v>0.29392101819585331</v>
      </c>
      <c r="G22" s="243">
        <v>8.1129032258064484</v>
      </c>
      <c r="H22" s="243">
        <v>11.7</v>
      </c>
      <c r="I22" s="243">
        <v>3.7</v>
      </c>
      <c r="J22" s="243">
        <v>8.6774193548387117</v>
      </c>
      <c r="K22" s="243">
        <v>-0.56451612903226334</v>
      </c>
    </row>
    <row r="23" spans="1:16" ht="14.15" customHeight="1">
      <c r="A23" s="142" t="s">
        <v>54</v>
      </c>
      <c r="B23" s="144">
        <f>B21+B22</f>
        <v>2704823</v>
      </c>
      <c r="C23" s="289">
        <f>C21+C22</f>
        <v>605489.71788701997</v>
      </c>
      <c r="D23" s="285">
        <f>D21+D22</f>
        <v>6691987.9822751526</v>
      </c>
      <c r="E23" s="342"/>
      <c r="F23" s="308">
        <f>'5.1'!H14</f>
        <v>9.0615376302777995E-2</v>
      </c>
      <c r="G23" s="243">
        <v>8.1129032258064484</v>
      </c>
      <c r="H23" s="243">
        <v>11.7</v>
      </c>
      <c r="I23" s="243">
        <v>3.7</v>
      </c>
      <c r="J23" s="243">
        <v>8.6774193548387117</v>
      </c>
      <c r="K23" s="243">
        <v>-0.56451612903226334</v>
      </c>
    </row>
    <row r="24" spans="1:16" ht="15" customHeight="1">
      <c r="A24" s="90"/>
      <c r="B24" s="83"/>
      <c r="C24" s="479" t="s">
        <v>230</v>
      </c>
      <c r="D24" s="479"/>
      <c r="E24" s="479"/>
      <c r="F24" s="479"/>
      <c r="G24" s="482" t="s">
        <v>228</v>
      </c>
      <c r="H24" s="482"/>
      <c r="I24" s="482"/>
      <c r="J24" s="482"/>
      <c r="K24" s="482"/>
    </row>
    <row r="25" spans="1:16" ht="15" customHeight="1">
      <c r="A25" s="83"/>
      <c r="B25" s="83"/>
      <c r="C25" s="479"/>
      <c r="D25" s="479"/>
      <c r="E25" s="479"/>
      <c r="F25" s="479"/>
      <c r="G25" s="482" t="s">
        <v>229</v>
      </c>
      <c r="H25" s="482"/>
      <c r="I25" s="482"/>
      <c r="J25" s="482"/>
      <c r="K25" s="482"/>
    </row>
    <row r="26" spans="1:16" ht="30" customHeight="1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7" spans="1:16" ht="15" customHeight="1">
      <c r="A27" s="77"/>
      <c r="B27" s="77"/>
      <c r="C27" s="83"/>
      <c r="D27" s="88"/>
      <c r="E27" s="89"/>
      <c r="F27" s="89"/>
      <c r="G27" s="83"/>
      <c r="H27" s="90"/>
      <c r="I27" s="77"/>
      <c r="J27" s="83"/>
      <c r="K27" s="83"/>
    </row>
    <row r="28" spans="1:16" ht="18" customHeight="1">
      <c r="A28" s="83"/>
      <c r="B28" s="83"/>
      <c r="C28" s="83"/>
      <c r="D28" s="88"/>
      <c r="E28" s="89"/>
      <c r="F28" s="89"/>
      <c r="G28" s="83"/>
      <c r="H28" s="83"/>
      <c r="I28" s="83"/>
      <c r="J28" s="83"/>
      <c r="K28" s="83"/>
    </row>
    <row r="29" spans="1:16" ht="15" customHeight="1">
      <c r="A29" s="443" t="s">
        <v>243</v>
      </c>
      <c r="B29" s="443"/>
      <c r="C29" s="443"/>
      <c r="D29" s="443"/>
      <c r="E29" s="443"/>
      <c r="F29" s="443" t="s">
        <v>60</v>
      </c>
      <c r="G29" s="443"/>
      <c r="H29" s="443"/>
      <c r="I29" s="443"/>
      <c r="J29" s="443"/>
      <c r="K29" s="443"/>
    </row>
    <row r="30" spans="1:16" ht="15" customHeight="1">
      <c r="A30" s="105"/>
      <c r="B30" s="480"/>
      <c r="C30" s="480"/>
      <c r="D30" s="105"/>
      <c r="E30" s="105"/>
      <c r="F30" s="105"/>
      <c r="G30" s="105"/>
      <c r="H30" s="480"/>
      <c r="I30" s="480"/>
      <c r="J30" s="105"/>
      <c r="K30" s="105"/>
    </row>
    <row r="31" spans="1:16" ht="15" customHeight="1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</row>
    <row r="32" spans="1:16" ht="15" customHeight="1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</row>
    <row r="33" spans="1:11" ht="15" customHeight="1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</row>
    <row r="34" spans="1:11" ht="15" customHeight="1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</row>
    <row r="35" spans="1:11" ht="15" customHeight="1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</row>
    <row r="36" spans="1:11" ht="15" customHeight="1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</row>
    <row r="37" spans="1:11" ht="15" customHeight="1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</row>
    <row r="38" spans="1:11" ht="15" customHeight="1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</row>
    <row r="39" spans="1:11" ht="15" customHeight="1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</row>
    <row r="40" spans="1:11" ht="15" customHeight="1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</row>
    <row r="41" spans="1:11" ht="15" customHeight="1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</row>
    <row r="42" spans="1:11" ht="15" customHeight="1"/>
    <row r="43" spans="1:11" ht="15" customHeight="1"/>
    <row r="44" spans="1:11" ht="15" customHeight="1"/>
    <row r="45" spans="1:11" ht="15" customHeight="1"/>
    <row r="46" spans="1:11" ht="15" customHeight="1"/>
    <row r="47" spans="1:11" ht="15" customHeight="1"/>
    <row r="48" spans="1:11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mergeCells count="15">
    <mergeCell ref="B30:C30"/>
    <mergeCell ref="H30:I30"/>
    <mergeCell ref="F29:K29"/>
    <mergeCell ref="A29:E29"/>
    <mergeCell ref="B5:B6"/>
    <mergeCell ref="G25:K25"/>
    <mergeCell ref="G24:K24"/>
    <mergeCell ref="A1:K1"/>
    <mergeCell ref="A3:K3"/>
    <mergeCell ref="C24:F25"/>
    <mergeCell ref="C4:F4"/>
    <mergeCell ref="G4:K4"/>
    <mergeCell ref="A2:B2"/>
    <mergeCell ref="F5:F6"/>
    <mergeCell ref="E5:E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31"/>
  <dimension ref="A1:P57"/>
  <sheetViews>
    <sheetView showGridLines="0" zoomScaleNormal="100" zoomScaleSheetLayoutView="100" workbookViewId="0">
      <selection activeCell="G1" sqref="G1"/>
    </sheetView>
  </sheetViews>
  <sheetFormatPr defaultColWidth="9.1796875" defaultRowHeight="12.5"/>
  <cols>
    <col min="1" max="1" width="16.26953125" style="67" customWidth="1"/>
    <col min="2" max="2" width="10.26953125" style="67" customWidth="1"/>
    <col min="3" max="3" width="10" style="67" customWidth="1"/>
    <col min="4" max="4" width="10.7265625" style="67" customWidth="1"/>
    <col min="5" max="6" width="8.54296875" style="67" customWidth="1"/>
    <col min="7" max="10" width="6.7265625" style="67" customWidth="1"/>
    <col min="11" max="11" width="8.1796875" style="67" customWidth="1"/>
    <col min="12" max="13" width="9.1796875" style="67"/>
    <col min="14" max="14" width="11.1796875" style="67" customWidth="1"/>
    <col min="15" max="16384" width="9.1796875" style="67"/>
  </cols>
  <sheetData>
    <row r="1" spans="1:11" s="93" customFormat="1" ht="18">
      <c r="A1" s="471" t="str">
        <f>"6.9 Spotřeba zemního plynu a teplota ovzduší podle krajů: "&amp;LOWER(A3)</f>
        <v>6.9 Spotřeba zemního plynu a teplota ovzduší podle krajů: listopad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</row>
    <row r="2" spans="1:11" ht="6" customHeight="1">
      <c r="A2" s="475"/>
      <c r="B2" s="475"/>
      <c r="C2" s="275"/>
      <c r="D2" s="276"/>
      <c r="E2" s="277"/>
      <c r="F2" s="277"/>
      <c r="G2" s="277"/>
      <c r="H2" s="277"/>
    </row>
    <row r="3" spans="1:11" ht="20.149999999999999" customHeight="1">
      <c r="A3" s="438" t="str">
        <f>'3.1'!E5</f>
        <v>Listopad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</row>
    <row r="4" spans="1:11" ht="20.149999999999999" customHeight="1">
      <c r="A4" s="112"/>
      <c r="B4" s="233">
        <f>'3.1'!A4</f>
        <v>2025</v>
      </c>
      <c r="C4" s="494" t="s">
        <v>59</v>
      </c>
      <c r="D4" s="495"/>
      <c r="E4" s="495"/>
      <c r="F4" s="496"/>
      <c r="G4" s="497" t="s">
        <v>182</v>
      </c>
      <c r="H4" s="497"/>
      <c r="I4" s="497"/>
      <c r="J4" s="497"/>
      <c r="K4" s="497"/>
    </row>
    <row r="5" spans="1:11" ht="49.5" customHeight="1">
      <c r="A5" s="253"/>
      <c r="B5" s="456" t="s">
        <v>181</v>
      </c>
      <c r="C5" s="320"/>
      <c r="D5" s="321"/>
      <c r="E5" s="456" t="s">
        <v>265</v>
      </c>
      <c r="F5" s="476" t="s">
        <v>268</v>
      </c>
      <c r="G5" s="343" t="s">
        <v>61</v>
      </c>
      <c r="H5" s="343" t="s">
        <v>170</v>
      </c>
      <c r="I5" s="343" t="s">
        <v>171</v>
      </c>
      <c r="J5" s="343" t="s">
        <v>270</v>
      </c>
      <c r="K5" s="343" t="s">
        <v>271</v>
      </c>
    </row>
    <row r="6" spans="1:11" ht="15" customHeight="1">
      <c r="A6" s="201" t="s">
        <v>183</v>
      </c>
      <c r="B6" s="442"/>
      <c r="C6" s="203" t="s">
        <v>247</v>
      </c>
      <c r="D6" s="201" t="s">
        <v>248</v>
      </c>
      <c r="E6" s="442"/>
      <c r="F6" s="477"/>
      <c r="G6" s="201" t="s">
        <v>218</v>
      </c>
      <c r="H6" s="201" t="s">
        <v>218</v>
      </c>
      <c r="I6" s="201" t="s">
        <v>218</v>
      </c>
      <c r="J6" s="201" t="s">
        <v>218</v>
      </c>
      <c r="K6" s="201" t="s">
        <v>218</v>
      </c>
    </row>
    <row r="7" spans="1:11" ht="14.15" customHeight="1">
      <c r="A7" s="137" t="s">
        <v>8</v>
      </c>
      <c r="B7" s="113">
        <f>'6.1'!D20</f>
        <v>101634</v>
      </c>
      <c r="C7" s="288">
        <f>'6.1'!E20</f>
        <v>29996.432272999995</v>
      </c>
      <c r="D7" s="113">
        <f>'6.1'!F20</f>
        <v>330609.81978099997</v>
      </c>
      <c r="E7" s="282">
        <f>D7/$D$21</f>
        <v>3.7842868798840572E-2</v>
      </c>
      <c r="F7" s="307">
        <f>'6.1'!H20</f>
        <v>3.568971163784871E-2</v>
      </c>
      <c r="G7" s="301">
        <v>2.1266666666666669</v>
      </c>
      <c r="H7" s="302">
        <v>8.4</v>
      </c>
      <c r="I7" s="302">
        <v>-6.3</v>
      </c>
      <c r="J7" s="302">
        <v>2.2999999999999985</v>
      </c>
      <c r="K7" s="301">
        <v>-0.17333333333333156</v>
      </c>
    </row>
    <row r="8" spans="1:11" ht="14.15" customHeight="1">
      <c r="A8" s="137" t="s">
        <v>9</v>
      </c>
      <c r="B8" s="113">
        <f>'6.1'!D50</f>
        <v>367214</v>
      </c>
      <c r="C8" s="288">
        <f>'6.1'!E50</f>
        <v>105731.8</v>
      </c>
      <c r="D8" s="113">
        <f>'6.1'!F50</f>
        <v>1163942.6239700001</v>
      </c>
      <c r="E8" s="282">
        <f t="shared" ref="E8:E20" si="0">D8/$D$21</f>
        <v>0.13322933976205598</v>
      </c>
      <c r="F8" s="307">
        <f>'6.1'!H50</f>
        <v>-4.5903892764058027E-2</v>
      </c>
      <c r="G8" s="301">
        <v>3.8799999999999994</v>
      </c>
      <c r="H8" s="302">
        <v>12.9</v>
      </c>
      <c r="I8" s="302">
        <v>-4</v>
      </c>
      <c r="J8" s="302">
        <v>3.2000000000000015</v>
      </c>
      <c r="K8" s="301">
        <v>0.67999999999999794</v>
      </c>
    </row>
    <row r="9" spans="1:11" ht="14.15" customHeight="1">
      <c r="A9" s="137" t="s">
        <v>10</v>
      </c>
      <c r="B9" s="113">
        <f>'6.2'!D20</f>
        <v>80730</v>
      </c>
      <c r="C9" s="288">
        <f>'6.2'!E20</f>
        <v>25153.1</v>
      </c>
      <c r="D9" s="113">
        <f>'6.2'!F20</f>
        <v>276896.35201000003</v>
      </c>
      <c r="E9" s="282">
        <f t="shared" si="0"/>
        <v>3.1694619134220295E-2</v>
      </c>
      <c r="F9" s="307">
        <f>'6.2'!H20</f>
        <v>-4.6020518460925718E-2</v>
      </c>
      <c r="G9" s="301">
        <v>1.9600000000000004</v>
      </c>
      <c r="H9" s="302">
        <v>8.6</v>
      </c>
      <c r="I9" s="302">
        <v>-8.5</v>
      </c>
      <c r="J9" s="302">
        <v>1.7999999999999992</v>
      </c>
      <c r="K9" s="301">
        <v>0.16000000000000125</v>
      </c>
    </row>
    <row r="10" spans="1:11" ht="14.15" customHeight="1">
      <c r="A10" s="137" t="s">
        <v>89</v>
      </c>
      <c r="B10" s="113">
        <f>'6.2'!D50</f>
        <v>113243</v>
      </c>
      <c r="C10" s="288">
        <f>'6.2'!E50</f>
        <v>38028</v>
      </c>
      <c r="D10" s="113">
        <f>'6.2'!F50</f>
        <v>418627.80072</v>
      </c>
      <c r="E10" s="282">
        <f t="shared" si="0"/>
        <v>4.7917744695811282E-2</v>
      </c>
      <c r="F10" s="307">
        <f>'6.2'!H50</f>
        <v>7.5312600736329588E-2</v>
      </c>
      <c r="G10" s="301">
        <v>2.9133333333333344</v>
      </c>
      <c r="H10" s="302">
        <v>9.6</v>
      </c>
      <c r="I10" s="302">
        <v>-5.8</v>
      </c>
      <c r="J10" s="302">
        <v>2.5</v>
      </c>
      <c r="K10" s="301">
        <v>0.41333333333333444</v>
      </c>
    </row>
    <row r="11" spans="1:11" ht="14.15" customHeight="1">
      <c r="A11" s="137" t="s">
        <v>11</v>
      </c>
      <c r="B11" s="113">
        <f>'6.3'!D20</f>
        <v>89416</v>
      </c>
      <c r="C11" s="288">
        <f>'6.3'!E20</f>
        <v>33090.146000000001</v>
      </c>
      <c r="D11" s="113">
        <f>'6.3'!F20</f>
        <v>364263.96554</v>
      </c>
      <c r="E11" s="282">
        <f t="shared" si="0"/>
        <v>4.1695051481552545E-2</v>
      </c>
      <c r="F11" s="307">
        <f>'6.3'!H20</f>
        <v>-6.6176564181523179E-3</v>
      </c>
      <c r="G11" s="301">
        <v>3.4166666666666674</v>
      </c>
      <c r="H11" s="302">
        <v>9.6999999999999993</v>
      </c>
      <c r="I11" s="302">
        <v>-6.5</v>
      </c>
      <c r="J11" s="302">
        <v>2.7000000000000015</v>
      </c>
      <c r="K11" s="301">
        <v>0.7166666666666659</v>
      </c>
    </row>
    <row r="12" spans="1:11" ht="14.15" customHeight="1">
      <c r="A12" s="137" t="s">
        <v>12</v>
      </c>
      <c r="B12" s="113">
        <f>'6.3'!D50</f>
        <v>362548</v>
      </c>
      <c r="C12" s="288">
        <f>'6.3'!E50</f>
        <v>92126.235000000001</v>
      </c>
      <c r="D12" s="113">
        <f>'6.3'!F50</f>
        <v>1013802.9396470001</v>
      </c>
      <c r="E12" s="282">
        <f t="shared" si="0"/>
        <v>0.1160437752827605</v>
      </c>
      <c r="F12" s="307">
        <f>'6.3'!H50</f>
        <v>7.8641317235861277E-2</v>
      </c>
      <c r="G12" s="301">
        <v>3.3033333333333341</v>
      </c>
      <c r="H12" s="302">
        <v>13</v>
      </c>
      <c r="I12" s="302">
        <v>-5</v>
      </c>
      <c r="J12" s="302">
        <v>2.7000000000000015</v>
      </c>
      <c r="K12" s="301">
        <v>0.60333333333333261</v>
      </c>
    </row>
    <row r="13" spans="1:11" ht="14.15" customHeight="1">
      <c r="A13" s="137" t="s">
        <v>13</v>
      </c>
      <c r="B13" s="113">
        <f>'6.4'!D20</f>
        <v>179483</v>
      </c>
      <c r="C13" s="288">
        <f>'6.4'!E20</f>
        <v>53996.2</v>
      </c>
      <c r="D13" s="113">
        <f>'6.4'!F20</f>
        <v>594413.29722999991</v>
      </c>
      <c r="E13" s="282">
        <f t="shared" si="0"/>
        <v>6.8038827262486085E-2</v>
      </c>
      <c r="F13" s="307">
        <f>'6.4'!H20</f>
        <v>6.4161637820601233E-2</v>
      </c>
      <c r="G13" s="301">
        <v>3.2133333333333338</v>
      </c>
      <c r="H13" s="302">
        <v>12.1</v>
      </c>
      <c r="I13" s="302">
        <v>-4.0999999999999996</v>
      </c>
      <c r="J13" s="302">
        <v>2.100000000000001</v>
      </c>
      <c r="K13" s="301">
        <v>1.1133333333333328</v>
      </c>
    </row>
    <row r="14" spans="1:11" ht="14.15" customHeight="1">
      <c r="A14" s="137" t="s">
        <v>14</v>
      </c>
      <c r="B14" s="113">
        <f>'6.4'!D50</f>
        <v>131237</v>
      </c>
      <c r="C14" s="288">
        <f>'6.4'!E50</f>
        <v>35636.248</v>
      </c>
      <c r="D14" s="113">
        <f>'6.4'!F50</f>
        <v>392298.99344500003</v>
      </c>
      <c r="E14" s="282">
        <f t="shared" si="0"/>
        <v>4.4904048369435429E-2</v>
      </c>
      <c r="F14" s="307">
        <f>'6.4'!H50</f>
        <v>-1.3283641599291185E-2</v>
      </c>
      <c r="G14" s="301">
        <v>3.0833333333333335</v>
      </c>
      <c r="H14" s="302">
        <v>9.9</v>
      </c>
      <c r="I14" s="302">
        <v>-5.2</v>
      </c>
      <c r="J14" s="302">
        <v>3</v>
      </c>
      <c r="K14" s="301">
        <v>8.3333333333333481E-2</v>
      </c>
    </row>
    <row r="15" spans="1:11" ht="14.15" customHeight="1">
      <c r="A15" s="137" t="s">
        <v>15</v>
      </c>
      <c r="B15" s="113">
        <f>'6.5'!D20</f>
        <v>153682</v>
      </c>
      <c r="C15" s="288">
        <f>'6.5'!E20</f>
        <v>37508.000000000007</v>
      </c>
      <c r="D15" s="113">
        <f>'6.5'!F20</f>
        <v>412904.74259000004</v>
      </c>
      <c r="E15" s="282">
        <f t="shared" si="0"/>
        <v>4.7262661498085369E-2</v>
      </c>
      <c r="F15" s="307">
        <f>'6.5'!H20</f>
        <v>-1.2780913835337289E-3</v>
      </c>
      <c r="G15" s="301">
        <v>2.31</v>
      </c>
      <c r="H15" s="302">
        <v>8.9</v>
      </c>
      <c r="I15" s="302">
        <v>-7</v>
      </c>
      <c r="J15" s="302">
        <v>2.5999999999999996</v>
      </c>
      <c r="K15" s="301">
        <v>-0.28999999999999959</v>
      </c>
    </row>
    <row r="16" spans="1:11" ht="14.15" customHeight="1">
      <c r="A16" s="137" t="s">
        <v>1</v>
      </c>
      <c r="B16" s="113">
        <f>'6.5'!D50</f>
        <v>369768</v>
      </c>
      <c r="C16" s="288">
        <f>'6.5'!E50</f>
        <v>82672.851245742015</v>
      </c>
      <c r="D16" s="113">
        <f>'6.5'!F50</f>
        <v>911344.23223143606</v>
      </c>
      <c r="E16" s="282">
        <f t="shared" si="0"/>
        <v>0.10431595841212317</v>
      </c>
      <c r="F16" s="307">
        <f>'6.5'!H50</f>
        <v>-0.12125176734456197</v>
      </c>
      <c r="G16" s="301">
        <v>4.12</v>
      </c>
      <c r="H16" s="302">
        <v>10.1</v>
      </c>
      <c r="I16" s="302">
        <v>-4.5</v>
      </c>
      <c r="J16" s="302">
        <v>3.700000000000002</v>
      </c>
      <c r="K16" s="301">
        <v>0.41999999999999815</v>
      </c>
    </row>
    <row r="17" spans="1:16" ht="14.15" customHeight="1">
      <c r="A17" s="137" t="s">
        <v>16</v>
      </c>
      <c r="B17" s="113">
        <f>'6.6'!D20</f>
        <v>275186</v>
      </c>
      <c r="C17" s="288">
        <f>'6.6'!E20</f>
        <v>112829.708275552</v>
      </c>
      <c r="D17" s="113">
        <f>'6.6'!F20</f>
        <v>1242240.698793632</v>
      </c>
      <c r="E17" s="282">
        <f t="shared" si="0"/>
        <v>0.14219163790164313</v>
      </c>
      <c r="F17" s="307">
        <f>'6.6'!H20</f>
        <v>3.4307141499532311E-2</v>
      </c>
      <c r="G17" s="301">
        <v>3.0833333333333326</v>
      </c>
      <c r="H17" s="302">
        <v>9.1999999999999993</v>
      </c>
      <c r="I17" s="302">
        <v>-5.8</v>
      </c>
      <c r="J17" s="302">
        <v>3.5</v>
      </c>
      <c r="K17" s="301">
        <v>-0.41666666666666741</v>
      </c>
      <c r="L17" s="68"/>
      <c r="N17" s="68"/>
      <c r="O17" s="68"/>
      <c r="P17" s="68"/>
    </row>
    <row r="18" spans="1:16" ht="14.15" customHeight="1">
      <c r="A18" s="137" t="s">
        <v>17</v>
      </c>
      <c r="B18" s="113">
        <f>'6.6'!D50</f>
        <v>213340</v>
      </c>
      <c r="C18" s="288">
        <f>'6.6'!E50</f>
        <v>72908.569999999992</v>
      </c>
      <c r="D18" s="113">
        <f>'6.6'!F50</f>
        <v>802581.84706599987</v>
      </c>
      <c r="E18" s="282">
        <f t="shared" si="0"/>
        <v>9.1866598393745683E-2</v>
      </c>
      <c r="F18" s="307">
        <f>'6.6'!H50</f>
        <v>-0.45504837103019785</v>
      </c>
      <c r="G18" s="301">
        <v>2.9299999999999997</v>
      </c>
      <c r="H18" s="302">
        <v>9.1</v>
      </c>
      <c r="I18" s="302">
        <v>-6.8</v>
      </c>
      <c r="J18" s="302">
        <v>3.5</v>
      </c>
      <c r="K18" s="301">
        <v>-0.57000000000000028</v>
      </c>
      <c r="L18" s="68"/>
      <c r="N18" s="68"/>
      <c r="O18" s="68"/>
      <c r="P18" s="68"/>
    </row>
    <row r="19" spans="1:16" ht="14.15" customHeight="1">
      <c r="A19" s="137" t="s">
        <v>18</v>
      </c>
      <c r="B19" s="113">
        <f>'6.7'!D20</f>
        <v>116282</v>
      </c>
      <c r="C19" s="288">
        <f>'6.7'!E20</f>
        <v>32908.932728</v>
      </c>
      <c r="D19" s="113">
        <f>'6.7'!F20</f>
        <v>362329.56747000001</v>
      </c>
      <c r="E19" s="282">
        <f t="shared" si="0"/>
        <v>4.1473632854555229E-2</v>
      </c>
      <c r="F19" s="307">
        <f>'6.7'!H20</f>
        <v>-3.8822169789768037E-3</v>
      </c>
      <c r="G19" s="301">
        <v>2.1966666666666677</v>
      </c>
      <c r="H19" s="302">
        <v>9</v>
      </c>
      <c r="I19" s="302">
        <v>-5.7</v>
      </c>
      <c r="J19" s="302">
        <v>1.899999999999999</v>
      </c>
      <c r="K19" s="301">
        <v>0.29666666666666863</v>
      </c>
      <c r="L19" s="68"/>
      <c r="N19" s="68"/>
      <c r="O19" s="68"/>
      <c r="P19" s="68"/>
    </row>
    <row r="20" spans="1:16" ht="14.15" customHeight="1">
      <c r="A20" s="142" t="s">
        <v>19</v>
      </c>
      <c r="B20" s="285">
        <f>'6.7'!D50</f>
        <v>150205</v>
      </c>
      <c r="C20" s="289">
        <f>'6.7'!E50</f>
        <v>40889.300000000003</v>
      </c>
      <c r="D20" s="285">
        <f>'6.7'!F50</f>
        <v>450126.75728999998</v>
      </c>
      <c r="E20" s="286">
        <f t="shared" si="0"/>
        <v>5.1523236152684795E-2</v>
      </c>
      <c r="F20" s="308">
        <f>'6.7'!H50</f>
        <v>1.6216308903536742E-3</v>
      </c>
      <c r="G20" s="303">
        <v>3.163333333333334</v>
      </c>
      <c r="H20" s="304">
        <v>13.4</v>
      </c>
      <c r="I20" s="304">
        <v>-4</v>
      </c>
      <c r="J20" s="304">
        <v>3.299999999999998</v>
      </c>
      <c r="K20" s="303">
        <v>-0.13666666666666405</v>
      </c>
      <c r="L20" s="68"/>
    </row>
    <row r="21" spans="1:16" ht="14.15" customHeight="1">
      <c r="A21" s="137" t="s">
        <v>0</v>
      </c>
      <c r="B21" s="139">
        <f>SUM(B7:B20)</f>
        <v>2703968</v>
      </c>
      <c r="C21" s="288">
        <f>SUM(C7:C20)</f>
        <v>793475.52352229413</v>
      </c>
      <c r="D21" s="113">
        <f>SUM(D7:D20)</f>
        <v>8736383.6377840675</v>
      </c>
      <c r="E21" s="341">
        <f>SUM(E7:E20)</f>
        <v>1</v>
      </c>
      <c r="F21" s="307"/>
      <c r="G21" s="237">
        <v>2.8166666666666669</v>
      </c>
      <c r="H21" s="237">
        <v>9.6999999999999993</v>
      </c>
      <c r="I21" s="237">
        <v>-5.6</v>
      </c>
      <c r="J21" s="237">
        <v>3.9166666666666656</v>
      </c>
      <c r="K21" s="237">
        <v>-1.0999999999999988</v>
      </c>
    </row>
    <row r="22" spans="1:16" ht="14.15" customHeight="1">
      <c r="A22" s="142" t="s">
        <v>91</v>
      </c>
      <c r="B22" s="342"/>
      <c r="C22" s="289">
        <f>'5.1'!E20</f>
        <v>12595.163216078998</v>
      </c>
      <c r="D22" s="285">
        <f>'5.1'!F20</f>
        <v>138892.14133099999</v>
      </c>
      <c r="E22" s="342"/>
      <c r="F22" s="308">
        <f>'5.1'!H20</f>
        <v>0.25762301830043671</v>
      </c>
      <c r="G22" s="243">
        <v>2.8166666666666669</v>
      </c>
      <c r="H22" s="243">
        <v>9.6999999999999993</v>
      </c>
      <c r="I22" s="243">
        <v>-5.6</v>
      </c>
      <c r="J22" s="243">
        <v>3.9166666666666656</v>
      </c>
      <c r="K22" s="243">
        <v>-1.0999999999999988</v>
      </c>
    </row>
    <row r="23" spans="1:16" ht="14.15" customHeight="1">
      <c r="A23" s="142" t="s">
        <v>54</v>
      </c>
      <c r="B23" s="144">
        <f>B21+B22</f>
        <v>2703968</v>
      </c>
      <c r="C23" s="289">
        <f t="shared" ref="C23:D23" si="1">C21+C22</f>
        <v>806070.68673837313</v>
      </c>
      <c r="D23" s="285">
        <f t="shared" si="1"/>
        <v>8875275.7791150678</v>
      </c>
      <c r="E23" s="342"/>
      <c r="F23" s="308">
        <f>'5.1'!H21</f>
        <v>-6.8640261566732863E-2</v>
      </c>
      <c r="G23" s="243">
        <v>2.8166666666666669</v>
      </c>
      <c r="H23" s="243">
        <v>9.6999999999999993</v>
      </c>
      <c r="I23" s="243">
        <v>-5.6</v>
      </c>
      <c r="J23" s="243">
        <v>3.9166666666666656</v>
      </c>
      <c r="K23" s="243">
        <v>-1.0999999999999988</v>
      </c>
    </row>
    <row r="24" spans="1:16" ht="15" customHeight="1">
      <c r="A24" s="90"/>
      <c r="B24" s="83"/>
      <c r="C24" s="479" t="s">
        <v>230</v>
      </c>
      <c r="D24" s="479"/>
      <c r="E24" s="479"/>
      <c r="F24" s="479"/>
      <c r="G24" s="482" t="s">
        <v>228</v>
      </c>
      <c r="H24" s="482"/>
      <c r="I24" s="482"/>
      <c r="J24" s="482"/>
      <c r="K24" s="482"/>
    </row>
    <row r="25" spans="1:16" ht="15" customHeight="1">
      <c r="A25" s="83"/>
      <c r="B25" s="83"/>
      <c r="C25" s="479"/>
      <c r="D25" s="479"/>
      <c r="E25" s="479"/>
      <c r="F25" s="479"/>
      <c r="G25" s="482" t="s">
        <v>229</v>
      </c>
      <c r="H25" s="482"/>
      <c r="I25" s="482"/>
      <c r="J25" s="482"/>
      <c r="K25" s="482"/>
    </row>
    <row r="26" spans="1:16" ht="30" customHeight="1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7" spans="1:16" ht="15" customHeight="1">
      <c r="A27" s="77"/>
      <c r="B27" s="77"/>
      <c r="C27" s="83"/>
      <c r="D27" s="88"/>
      <c r="E27" s="89"/>
      <c r="F27" s="89"/>
      <c r="G27" s="83"/>
      <c r="H27" s="90"/>
      <c r="I27" s="77"/>
      <c r="J27" s="83"/>
      <c r="K27" s="83"/>
    </row>
    <row r="28" spans="1:16" ht="18" customHeight="1">
      <c r="A28" s="83"/>
      <c r="B28" s="83"/>
      <c r="C28" s="83"/>
      <c r="D28" s="88"/>
      <c r="E28" s="89"/>
      <c r="F28" s="89"/>
      <c r="G28" s="83"/>
      <c r="H28" s="83"/>
      <c r="I28" s="83"/>
      <c r="J28" s="83"/>
      <c r="K28" s="83"/>
    </row>
    <row r="29" spans="1:16" ht="15" customHeight="1">
      <c r="A29" s="443" t="s">
        <v>243</v>
      </c>
      <c r="B29" s="443"/>
      <c r="C29" s="443"/>
      <c r="D29" s="443"/>
      <c r="E29" s="443"/>
      <c r="F29" s="443" t="s">
        <v>60</v>
      </c>
      <c r="G29" s="443"/>
      <c r="H29" s="443"/>
      <c r="I29" s="443"/>
      <c r="J29" s="443"/>
      <c r="K29" s="443"/>
    </row>
    <row r="30" spans="1:16" ht="15" customHeight="1">
      <c r="A30" s="105"/>
      <c r="B30" s="480"/>
      <c r="C30" s="480"/>
      <c r="D30" s="105"/>
      <c r="E30" s="105"/>
      <c r="F30" s="105"/>
      <c r="G30" s="105"/>
      <c r="H30" s="480"/>
      <c r="I30" s="480"/>
      <c r="J30" s="105"/>
      <c r="K30" s="105"/>
    </row>
    <row r="31" spans="1:16" ht="15" customHeight="1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</row>
    <row r="32" spans="1:16" ht="15" customHeight="1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</row>
    <row r="33" spans="1:11" ht="15" customHeight="1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</row>
    <row r="34" spans="1:11" ht="15" customHeight="1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</row>
    <row r="35" spans="1:11" ht="15" customHeight="1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</row>
    <row r="36" spans="1:11" ht="15" customHeight="1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</row>
    <row r="37" spans="1:11" ht="15" customHeight="1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</row>
    <row r="38" spans="1:11" ht="15" customHeight="1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</row>
    <row r="39" spans="1:11" ht="15" customHeight="1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</row>
    <row r="40" spans="1:11" ht="15" customHeight="1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</row>
    <row r="41" spans="1:11" ht="15" customHeight="1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</row>
    <row r="42" spans="1:11" ht="15" customHeight="1"/>
    <row r="43" spans="1:11" ht="15" customHeight="1"/>
    <row r="44" spans="1:11" ht="15" customHeight="1"/>
    <row r="45" spans="1:11" ht="15" customHeight="1"/>
    <row r="46" spans="1:11" ht="15" customHeight="1"/>
    <row r="47" spans="1:11" ht="15" customHeight="1"/>
    <row r="48" spans="1:11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mergeCells count="15">
    <mergeCell ref="A1:K1"/>
    <mergeCell ref="A2:B2"/>
    <mergeCell ref="A3:K3"/>
    <mergeCell ref="B30:C30"/>
    <mergeCell ref="H30:I30"/>
    <mergeCell ref="B5:B6"/>
    <mergeCell ref="C4:F4"/>
    <mergeCell ref="G4:K4"/>
    <mergeCell ref="G24:K24"/>
    <mergeCell ref="G25:K25"/>
    <mergeCell ref="C24:F25"/>
    <mergeCell ref="F29:K29"/>
    <mergeCell ref="A29:E29"/>
    <mergeCell ref="E5:E6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F72"/>
  <sheetViews>
    <sheetView showGridLines="0" zoomScaleNormal="100" zoomScaleSheetLayoutView="100" workbookViewId="0">
      <selection activeCell="G1" sqref="G1"/>
    </sheetView>
  </sheetViews>
  <sheetFormatPr defaultColWidth="9.1796875" defaultRowHeight="10"/>
  <cols>
    <col min="1" max="1" width="90.26953125" style="4" customWidth="1"/>
    <col min="2" max="2" width="9.1796875" style="2" customWidth="1"/>
    <col min="3" max="4" width="9.1796875" style="4" customWidth="1"/>
    <col min="5" max="5" width="9.1796875" style="4"/>
    <col min="6" max="6" width="9.1796875" style="4" customWidth="1"/>
    <col min="7" max="8" width="9.1796875" style="4"/>
    <col min="9" max="9" width="9.1796875" style="4" customWidth="1"/>
    <col min="10" max="16384" width="9.1796875" style="4"/>
  </cols>
  <sheetData>
    <row r="1" spans="1:4" ht="20">
      <c r="A1" s="38" t="s">
        <v>232</v>
      </c>
      <c r="C1" s="3"/>
      <c r="D1" s="3"/>
    </row>
    <row r="2" spans="1:4" ht="6" customHeight="1">
      <c r="A2" s="5"/>
      <c r="B2" s="5"/>
      <c r="C2" s="5"/>
      <c r="D2" s="5"/>
    </row>
    <row r="3" spans="1:4" ht="11.25" customHeight="1">
      <c r="A3" s="385" t="s">
        <v>313</v>
      </c>
      <c r="B3" s="385"/>
    </row>
    <row r="4" spans="1:4" ht="11.25" customHeight="1">
      <c r="A4" s="385"/>
      <c r="B4" s="385"/>
    </row>
    <row r="5" spans="1:4" ht="11.25" customHeight="1">
      <c r="A5" s="385"/>
      <c r="B5" s="385"/>
      <c r="C5" s="6"/>
      <c r="D5" s="6"/>
    </row>
    <row r="6" spans="1:4" ht="11.25" customHeight="1">
      <c r="A6" s="385"/>
      <c r="B6" s="385"/>
      <c r="C6" s="6"/>
      <c r="D6" s="6"/>
    </row>
    <row r="7" spans="1:4" ht="11.25" customHeight="1">
      <c r="A7" s="385"/>
      <c r="B7" s="385"/>
      <c r="C7" s="7"/>
      <c r="D7" s="6"/>
    </row>
    <row r="8" spans="1:4" ht="11.25" customHeight="1">
      <c r="A8" s="385"/>
      <c r="B8" s="385"/>
      <c r="C8" s="6"/>
      <c r="D8" s="6"/>
    </row>
    <row r="9" spans="1:4" ht="11.25" customHeight="1">
      <c r="A9" s="385"/>
      <c r="B9" s="385"/>
      <c r="C9" s="6"/>
      <c r="D9" s="6"/>
    </row>
    <row r="10" spans="1:4" ht="11.25" customHeight="1">
      <c r="A10" s="385"/>
      <c r="B10" s="385"/>
      <c r="C10" s="6"/>
      <c r="D10" s="6"/>
    </row>
    <row r="11" spans="1:4" ht="11.25" customHeight="1">
      <c r="A11" s="385"/>
      <c r="B11" s="385"/>
      <c r="C11" s="6"/>
      <c r="D11" s="6"/>
    </row>
    <row r="12" spans="1:4" ht="11.25" customHeight="1">
      <c r="A12" s="385"/>
      <c r="B12" s="385"/>
      <c r="C12" s="6"/>
      <c r="D12" s="6"/>
    </row>
    <row r="13" spans="1:4" ht="11.25" customHeight="1">
      <c r="A13" s="385"/>
      <c r="B13" s="385"/>
      <c r="C13" s="6"/>
      <c r="D13" s="6"/>
    </row>
    <row r="14" spans="1:4" ht="11.25" customHeight="1">
      <c r="A14" s="385"/>
      <c r="B14" s="385"/>
      <c r="C14" s="6"/>
      <c r="D14" s="6"/>
    </row>
    <row r="15" spans="1:4" ht="11.25" customHeight="1">
      <c r="A15" s="385"/>
      <c r="B15" s="385"/>
      <c r="C15" s="6"/>
      <c r="D15" s="6"/>
    </row>
    <row r="16" spans="1:4" ht="11.25" customHeight="1">
      <c r="A16" s="385"/>
      <c r="B16" s="385"/>
      <c r="C16" s="6"/>
      <c r="D16" s="6"/>
    </row>
    <row r="17" spans="1:6" ht="11.25" customHeight="1">
      <c r="A17" s="385"/>
      <c r="B17" s="385"/>
      <c r="C17" s="6"/>
      <c r="D17" s="6"/>
    </row>
    <row r="18" spans="1:6" ht="11.25" customHeight="1">
      <c r="A18" s="385"/>
      <c r="B18" s="385"/>
      <c r="C18" s="6"/>
      <c r="D18" s="6"/>
      <c r="F18" s="2"/>
    </row>
    <row r="19" spans="1:6" ht="11.25" customHeight="1">
      <c r="A19" s="385"/>
      <c r="B19" s="385"/>
      <c r="C19" s="6"/>
      <c r="D19" s="6"/>
      <c r="F19" s="2"/>
    </row>
    <row r="20" spans="1:6" ht="11.25" customHeight="1">
      <c r="A20" s="385"/>
      <c r="B20" s="385"/>
      <c r="C20" s="6"/>
      <c r="D20" s="6"/>
      <c r="F20" s="2"/>
    </row>
    <row r="21" spans="1:6" ht="11.25" customHeight="1">
      <c r="A21" s="385"/>
      <c r="B21" s="385"/>
      <c r="C21" s="6"/>
      <c r="D21" s="6"/>
      <c r="F21" s="2"/>
    </row>
    <row r="22" spans="1:6" ht="11.25" customHeight="1">
      <c r="A22" s="385"/>
      <c r="B22" s="385"/>
      <c r="C22" s="6"/>
      <c r="D22" s="6"/>
      <c r="F22" s="2"/>
    </row>
    <row r="23" spans="1:6" ht="11.25" customHeight="1">
      <c r="A23" s="385"/>
      <c r="B23" s="385"/>
      <c r="C23" s="6"/>
      <c r="D23" s="6"/>
      <c r="F23" s="2"/>
    </row>
    <row r="24" spans="1:6" ht="11.25" customHeight="1">
      <c r="A24" s="385"/>
      <c r="B24" s="385"/>
      <c r="C24" s="6"/>
      <c r="D24" s="6"/>
      <c r="F24" s="2"/>
    </row>
    <row r="25" spans="1:6" ht="11.25" customHeight="1">
      <c r="A25" s="385"/>
      <c r="B25" s="385"/>
      <c r="C25" s="6"/>
      <c r="D25" s="6"/>
      <c r="F25" s="2"/>
    </row>
    <row r="26" spans="1:6" ht="11.25" customHeight="1">
      <c r="A26" s="385"/>
      <c r="B26" s="385"/>
      <c r="C26" s="6"/>
      <c r="D26" s="6"/>
      <c r="F26" s="2"/>
    </row>
    <row r="27" spans="1:6" ht="11.25" customHeight="1">
      <c r="A27" s="385"/>
      <c r="B27" s="385"/>
      <c r="C27" s="6"/>
      <c r="D27" s="6"/>
      <c r="F27" s="2"/>
    </row>
    <row r="28" spans="1:6" ht="11.25" customHeight="1">
      <c r="A28" s="385"/>
      <c r="B28" s="385"/>
      <c r="C28" s="8"/>
      <c r="D28" s="8"/>
      <c r="F28" s="2"/>
    </row>
    <row r="29" spans="1:6" ht="11.25" customHeight="1">
      <c r="A29" s="385"/>
      <c r="B29" s="385"/>
      <c r="C29" s="6"/>
      <c r="D29" s="6"/>
      <c r="F29" s="2"/>
    </row>
    <row r="30" spans="1:6" ht="11.25" customHeight="1">
      <c r="A30" s="385"/>
      <c r="B30" s="385"/>
      <c r="C30" s="6"/>
      <c r="D30" s="6"/>
    </row>
    <row r="31" spans="1:6" ht="11.25" customHeight="1">
      <c r="A31" s="385"/>
      <c r="B31" s="385"/>
      <c r="C31" s="6"/>
      <c r="D31" s="6"/>
    </row>
    <row r="32" spans="1:6" ht="11.25" customHeight="1">
      <c r="A32" s="385"/>
      <c r="B32" s="385"/>
      <c r="C32" s="6"/>
      <c r="D32" s="6"/>
    </row>
    <row r="33" spans="1:4" ht="11.25" customHeight="1">
      <c r="A33" s="385"/>
      <c r="B33" s="385"/>
      <c r="C33" s="6"/>
      <c r="D33" s="6"/>
    </row>
    <row r="34" spans="1:4" ht="11.25" customHeight="1">
      <c r="A34" s="385"/>
      <c r="B34" s="385"/>
      <c r="C34" s="6"/>
      <c r="D34" s="6"/>
    </row>
    <row r="35" spans="1:4" ht="11.25" customHeight="1">
      <c r="A35" s="385"/>
      <c r="B35" s="385"/>
      <c r="C35" s="6"/>
      <c r="D35" s="6"/>
    </row>
    <row r="36" spans="1:4" ht="11.25" customHeight="1">
      <c r="A36" s="385"/>
      <c r="B36" s="385"/>
      <c r="C36" s="6"/>
      <c r="D36" s="6"/>
    </row>
    <row r="37" spans="1:4" ht="11.25" customHeight="1">
      <c r="A37" s="385"/>
      <c r="B37" s="385"/>
      <c r="C37" s="7"/>
      <c r="D37" s="7"/>
    </row>
    <row r="38" spans="1:4" ht="11.25" customHeight="1">
      <c r="A38" s="385"/>
      <c r="B38" s="385"/>
    </row>
    <row r="39" spans="1:4" ht="11.25" customHeight="1">
      <c r="A39" s="385"/>
      <c r="B39" s="385"/>
    </row>
    <row r="40" spans="1:4" ht="11.25" customHeight="1">
      <c r="A40" s="385"/>
      <c r="B40" s="385"/>
    </row>
    <row r="41" spans="1:4" ht="11.25" customHeight="1">
      <c r="A41" s="385"/>
      <c r="B41" s="385"/>
    </row>
    <row r="42" spans="1:4" ht="11.25" customHeight="1">
      <c r="A42" s="385"/>
      <c r="B42" s="385"/>
    </row>
    <row r="43" spans="1:4" ht="11.25" customHeight="1">
      <c r="A43" s="385"/>
      <c r="B43" s="385"/>
    </row>
    <row r="44" spans="1:4" ht="11.25" customHeight="1">
      <c r="A44" s="385"/>
      <c r="B44" s="385"/>
    </row>
    <row r="45" spans="1:4" ht="11.25" customHeight="1">
      <c r="A45" s="385"/>
      <c r="B45" s="385"/>
    </row>
    <row r="46" spans="1:4" ht="11.25" customHeight="1">
      <c r="A46" s="385"/>
      <c r="B46" s="385"/>
    </row>
    <row r="47" spans="1:4" ht="11.25" customHeight="1">
      <c r="A47" s="385"/>
      <c r="B47" s="385"/>
    </row>
    <row r="48" spans="1:4" ht="11.25" customHeight="1">
      <c r="A48" s="385"/>
      <c r="B48" s="385"/>
    </row>
    <row r="49" spans="1:2" ht="11.25" customHeight="1">
      <c r="A49" s="385"/>
      <c r="B49" s="385"/>
    </row>
    <row r="50" spans="1:2" ht="11.25" customHeight="1">
      <c r="A50" s="385"/>
      <c r="B50" s="385"/>
    </row>
    <row r="51" spans="1:2" ht="11.25" customHeight="1">
      <c r="A51" s="385"/>
      <c r="B51" s="385"/>
    </row>
    <row r="52" spans="1:2" ht="11.25" customHeight="1">
      <c r="A52" s="385"/>
      <c r="B52" s="385"/>
    </row>
    <row r="53" spans="1:2" ht="11.25" customHeight="1">
      <c r="A53" s="385"/>
      <c r="B53" s="385"/>
    </row>
    <row r="54" spans="1:2" ht="11.25" customHeight="1">
      <c r="A54" s="385"/>
      <c r="B54" s="385"/>
    </row>
    <row r="55" spans="1:2" ht="11.25" customHeight="1">
      <c r="A55" s="385"/>
      <c r="B55" s="385"/>
    </row>
    <row r="56" spans="1:2" ht="11.25" customHeight="1">
      <c r="A56" s="385"/>
      <c r="B56" s="385"/>
    </row>
    <row r="57" spans="1:2" ht="11.25" customHeight="1">
      <c r="A57" s="385"/>
      <c r="B57" s="385"/>
    </row>
    <row r="58" spans="1:2" ht="11.25" customHeight="1">
      <c r="A58" s="385"/>
      <c r="B58" s="385"/>
    </row>
    <row r="59" spans="1:2" ht="11.25" customHeight="1">
      <c r="A59" s="385"/>
      <c r="B59" s="385"/>
    </row>
    <row r="60" spans="1:2" ht="11.25" customHeight="1">
      <c r="A60" s="385"/>
      <c r="B60" s="385"/>
    </row>
    <row r="61" spans="1:2" ht="11.25" customHeight="1">
      <c r="A61" s="385"/>
      <c r="B61" s="385"/>
    </row>
    <row r="62" spans="1:2" ht="11.25" customHeight="1">
      <c r="A62" s="385"/>
      <c r="B62" s="385"/>
    </row>
    <row r="63" spans="1:2" ht="11.25" customHeight="1">
      <c r="A63" s="385"/>
      <c r="B63" s="385"/>
    </row>
    <row r="64" spans="1:2" ht="11.25" customHeight="1">
      <c r="A64" s="385"/>
      <c r="B64" s="385"/>
    </row>
    <row r="65" spans="1:2" ht="11.25" customHeight="1">
      <c r="A65" s="385"/>
      <c r="B65" s="385"/>
    </row>
    <row r="66" spans="1:2" ht="11.25" customHeight="1">
      <c r="A66" s="385"/>
      <c r="B66" s="385"/>
    </row>
    <row r="67" spans="1:2" ht="11.25" customHeight="1">
      <c r="A67" s="385"/>
      <c r="B67" s="385"/>
    </row>
    <row r="68" spans="1:2" ht="11.25" customHeight="1">
      <c r="A68" s="385"/>
      <c r="B68" s="385"/>
    </row>
    <row r="69" spans="1:2" ht="11.25" customHeight="1">
      <c r="A69" s="385"/>
      <c r="B69" s="385"/>
    </row>
    <row r="70" spans="1:2" ht="11.25" customHeight="1">
      <c r="A70" s="385"/>
      <c r="B70" s="385"/>
    </row>
    <row r="71" spans="1:2" ht="11.25" customHeight="1">
      <c r="A71" s="385"/>
      <c r="B71" s="385"/>
    </row>
    <row r="72" spans="1:2" ht="11.25" customHeight="1">
      <c r="A72" s="9"/>
      <c r="B72" s="9"/>
    </row>
  </sheetData>
  <mergeCells count="1">
    <mergeCell ref="A3:B71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32"/>
  <dimension ref="A1:P57"/>
  <sheetViews>
    <sheetView showGridLines="0" zoomScaleNormal="100" zoomScaleSheetLayoutView="100" workbookViewId="0">
      <selection activeCell="G1" sqref="G1"/>
    </sheetView>
  </sheetViews>
  <sheetFormatPr defaultColWidth="9.1796875" defaultRowHeight="12.5"/>
  <cols>
    <col min="1" max="1" width="16.26953125" style="67" customWidth="1"/>
    <col min="2" max="2" width="10.26953125" style="67" customWidth="1"/>
    <col min="3" max="3" width="10" style="67" customWidth="1"/>
    <col min="4" max="4" width="10.7265625" style="67" customWidth="1"/>
    <col min="5" max="6" width="8.54296875" style="67" customWidth="1"/>
    <col min="7" max="10" width="6.7265625" style="67" customWidth="1"/>
    <col min="11" max="11" width="8.1796875" style="67" customWidth="1"/>
    <col min="12" max="13" width="9.1796875" style="67"/>
    <col min="14" max="14" width="11.1796875" style="67" customWidth="1"/>
    <col min="15" max="16384" width="9.1796875" style="67"/>
  </cols>
  <sheetData>
    <row r="1" spans="1:11" s="93" customFormat="1" ht="18">
      <c r="A1" s="471" t="str">
        <f>"6.10 Spotřeba zemního plynu a teplota ovzduší podle krajů: "&amp;LOWER(A3)</f>
        <v>6.10 Spotřeba zemního plynu a teplota ovzduší podle krajů: prosinec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</row>
    <row r="2" spans="1:11" ht="6" customHeight="1">
      <c r="A2" s="475"/>
      <c r="B2" s="475"/>
      <c r="C2" s="275"/>
      <c r="D2" s="276"/>
      <c r="E2" s="277"/>
      <c r="F2" s="277"/>
      <c r="G2" s="277"/>
      <c r="H2" s="277"/>
    </row>
    <row r="3" spans="1:11" ht="20.149999999999999" customHeight="1">
      <c r="A3" s="438" t="str">
        <f>'3.1'!F5</f>
        <v>Prosinec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</row>
    <row r="4" spans="1:11" ht="20.149999999999999" customHeight="1">
      <c r="A4" s="112"/>
      <c r="B4" s="233">
        <f>'3.1'!A4</f>
        <v>2025</v>
      </c>
      <c r="C4" s="494" t="s">
        <v>59</v>
      </c>
      <c r="D4" s="495"/>
      <c r="E4" s="495"/>
      <c r="F4" s="496"/>
      <c r="G4" s="497" t="s">
        <v>182</v>
      </c>
      <c r="H4" s="497"/>
      <c r="I4" s="497"/>
      <c r="J4" s="497"/>
      <c r="K4" s="497"/>
    </row>
    <row r="5" spans="1:11" ht="49.5" customHeight="1">
      <c r="A5" s="253"/>
      <c r="B5" s="456" t="s">
        <v>181</v>
      </c>
      <c r="C5" s="320"/>
      <c r="D5" s="321"/>
      <c r="E5" s="456" t="s">
        <v>265</v>
      </c>
      <c r="F5" s="476" t="s">
        <v>268</v>
      </c>
      <c r="G5" s="343" t="s">
        <v>61</v>
      </c>
      <c r="H5" s="343" t="s">
        <v>170</v>
      </c>
      <c r="I5" s="343" t="s">
        <v>171</v>
      </c>
      <c r="J5" s="343" t="s">
        <v>270</v>
      </c>
      <c r="K5" s="343" t="s">
        <v>271</v>
      </c>
    </row>
    <row r="6" spans="1:11" ht="15" customHeight="1">
      <c r="A6" s="201" t="s">
        <v>183</v>
      </c>
      <c r="B6" s="442"/>
      <c r="C6" s="203" t="s">
        <v>247</v>
      </c>
      <c r="D6" s="201" t="s">
        <v>248</v>
      </c>
      <c r="E6" s="442"/>
      <c r="F6" s="477"/>
      <c r="G6" s="201" t="s">
        <v>218</v>
      </c>
      <c r="H6" s="201" t="s">
        <v>218</v>
      </c>
      <c r="I6" s="201" t="s">
        <v>218</v>
      </c>
      <c r="J6" s="201" t="s">
        <v>218</v>
      </c>
      <c r="K6" s="201" t="s">
        <v>218</v>
      </c>
    </row>
    <row r="7" spans="1:11" ht="14.15" customHeight="1">
      <c r="A7" s="137" t="s">
        <v>8</v>
      </c>
      <c r="B7" s="113">
        <f>'6.1'!D26</f>
        <v>101590</v>
      </c>
      <c r="C7" s="288">
        <f>'6.1'!E26</f>
        <v>32388.585016999998</v>
      </c>
      <c r="D7" s="113">
        <f>'6.1'!F26</f>
        <v>356327.10387700005</v>
      </c>
      <c r="E7" s="282">
        <f>D7/$D$21</f>
        <v>3.5208929158526268E-2</v>
      </c>
      <c r="F7" s="307">
        <f>'6.1'!H26</f>
        <v>9.7634274737808911E-3</v>
      </c>
      <c r="G7" s="301">
        <v>0.5709677419354835</v>
      </c>
      <c r="H7" s="302">
        <v>8.3000000000000007</v>
      </c>
      <c r="I7" s="302">
        <v>-3.2</v>
      </c>
      <c r="J7" s="302">
        <v>-0.5</v>
      </c>
      <c r="K7" s="301">
        <v>1.0709677419354835</v>
      </c>
    </row>
    <row r="8" spans="1:11" ht="14.15" customHeight="1">
      <c r="A8" s="137" t="s">
        <v>9</v>
      </c>
      <c r="B8" s="113">
        <f>'6.1'!D56</f>
        <v>367082</v>
      </c>
      <c r="C8" s="288">
        <f>'6.1'!E56</f>
        <v>123307.1</v>
      </c>
      <c r="D8" s="113">
        <f>'6.1'!F56</f>
        <v>1353569.6466699999</v>
      </c>
      <c r="E8" s="282">
        <f t="shared" ref="E8:E20" si="0">D8/$D$21</f>
        <v>0.13374715895085645</v>
      </c>
      <c r="F8" s="307">
        <f>'6.1'!H56</f>
        <v>-5.2097066436251623E-2</v>
      </c>
      <c r="G8" s="301">
        <v>1.8903225806451611</v>
      </c>
      <c r="H8" s="302">
        <v>5.9</v>
      </c>
      <c r="I8" s="302">
        <v>-3.1</v>
      </c>
      <c r="J8" s="302">
        <v>-0.20000000000000009</v>
      </c>
      <c r="K8" s="301">
        <v>2.0903225806451613</v>
      </c>
    </row>
    <row r="9" spans="1:11" ht="14.15" customHeight="1">
      <c r="A9" s="137" t="s">
        <v>10</v>
      </c>
      <c r="B9" s="113">
        <f>'6.2'!D26</f>
        <v>80703</v>
      </c>
      <c r="C9" s="288">
        <f>'6.2'!E26</f>
        <v>29216.2</v>
      </c>
      <c r="D9" s="113">
        <f>'6.2'!F26</f>
        <v>320711.97033000004</v>
      </c>
      <c r="E9" s="282">
        <f t="shared" si="0"/>
        <v>3.1689773022537712E-2</v>
      </c>
      <c r="F9" s="307">
        <f>'6.2'!H26</f>
        <v>1.3487168457786664E-2</v>
      </c>
      <c r="G9" s="301">
        <v>0.47096774193548391</v>
      </c>
      <c r="H9" s="302">
        <v>9.4</v>
      </c>
      <c r="I9" s="302">
        <v>-4.7</v>
      </c>
      <c r="J9" s="302">
        <v>-0.80000000000000038</v>
      </c>
      <c r="K9" s="301">
        <v>1.2709677419354843</v>
      </c>
    </row>
    <row r="10" spans="1:11" ht="14.15" customHeight="1">
      <c r="A10" s="137" t="s">
        <v>89</v>
      </c>
      <c r="B10" s="113">
        <f>'6.2'!D56</f>
        <v>113207</v>
      </c>
      <c r="C10" s="288">
        <f>'6.2'!E56</f>
        <v>41731.1</v>
      </c>
      <c r="D10" s="113">
        <f>'6.2'!F56</f>
        <v>458091.75334999996</v>
      </c>
      <c r="E10" s="282">
        <f t="shared" si="0"/>
        <v>4.5264365007082794E-2</v>
      </c>
      <c r="F10" s="307">
        <f>'6.2'!H56</f>
        <v>6.7856896106122763E-2</v>
      </c>
      <c r="G10" s="301">
        <v>1.1096774193548384</v>
      </c>
      <c r="H10" s="302">
        <v>9</v>
      </c>
      <c r="I10" s="302">
        <v>-6</v>
      </c>
      <c r="J10" s="302">
        <v>-0.60000000000000009</v>
      </c>
      <c r="K10" s="301">
        <v>1.7096774193548385</v>
      </c>
    </row>
    <row r="11" spans="1:11" ht="14.15" customHeight="1">
      <c r="A11" s="137" t="s">
        <v>11</v>
      </c>
      <c r="B11" s="113">
        <f>'6.3'!D26</f>
        <v>89387</v>
      </c>
      <c r="C11" s="288">
        <f>'6.3'!E26</f>
        <v>36379.014000000003</v>
      </c>
      <c r="D11" s="113">
        <f>'6.3'!F26</f>
        <v>399333.78902000003</v>
      </c>
      <c r="E11" s="282">
        <f t="shared" si="0"/>
        <v>3.9458449652666455E-2</v>
      </c>
      <c r="F11" s="307">
        <f>'6.3'!H26</f>
        <v>-3.5518868458520363E-2</v>
      </c>
      <c r="G11" s="301">
        <v>1.5290322580645161</v>
      </c>
      <c r="H11" s="302">
        <v>9.9</v>
      </c>
      <c r="I11" s="302">
        <v>-6.3</v>
      </c>
      <c r="J11" s="302">
        <v>-0.20000000000000009</v>
      </c>
      <c r="K11" s="301">
        <v>1.7290322580645163</v>
      </c>
    </row>
    <row r="12" spans="1:11" ht="14.15" customHeight="1">
      <c r="A12" s="137" t="s">
        <v>12</v>
      </c>
      <c r="B12" s="113">
        <f>'6.3'!D56</f>
        <v>362417</v>
      </c>
      <c r="C12" s="288">
        <f>'6.3'!E56</f>
        <v>100373.51799999998</v>
      </c>
      <c r="D12" s="113">
        <f>'6.3'!F56</f>
        <v>1101513.9673269999</v>
      </c>
      <c r="E12" s="282">
        <f t="shared" si="0"/>
        <v>0.10884136182952571</v>
      </c>
      <c r="F12" s="307">
        <f>'6.3'!H56</f>
        <v>2.7471045489616829E-2</v>
      </c>
      <c r="G12" s="301">
        <v>1.6096774193548393</v>
      </c>
      <c r="H12" s="302">
        <v>8.4</v>
      </c>
      <c r="I12" s="302">
        <v>-5.4</v>
      </c>
      <c r="J12" s="302">
        <v>-0.5</v>
      </c>
      <c r="K12" s="301">
        <v>2.1096774193548393</v>
      </c>
    </row>
    <row r="13" spans="1:11" ht="14.15" customHeight="1">
      <c r="A13" s="137" t="s">
        <v>13</v>
      </c>
      <c r="B13" s="113">
        <f>'6.4'!D26</f>
        <v>179423</v>
      </c>
      <c r="C13" s="288">
        <f>'6.4'!E26</f>
        <v>60268</v>
      </c>
      <c r="D13" s="113">
        <f>'6.4'!F26</f>
        <v>661575.52674999996</v>
      </c>
      <c r="E13" s="282">
        <f t="shared" si="0"/>
        <v>6.5370738293307168E-2</v>
      </c>
      <c r="F13" s="307">
        <f>'6.4'!H26</f>
        <v>2.3248390881292845E-2</v>
      </c>
      <c r="G13" s="301">
        <v>1.4354838709677418</v>
      </c>
      <c r="H13" s="302">
        <v>7.6</v>
      </c>
      <c r="I13" s="302">
        <v>-5.4</v>
      </c>
      <c r="J13" s="302">
        <v>-1.1000000000000005</v>
      </c>
      <c r="K13" s="301">
        <v>2.5354838709677425</v>
      </c>
    </row>
    <row r="14" spans="1:11" ht="14.15" customHeight="1">
      <c r="A14" s="137" t="s">
        <v>14</v>
      </c>
      <c r="B14" s="113">
        <f>'6.4'!D56</f>
        <v>131194</v>
      </c>
      <c r="C14" s="288">
        <f>'6.4'!E56</f>
        <v>39682.845000000001</v>
      </c>
      <c r="D14" s="113">
        <f>'6.4'!F56</f>
        <v>435607.99500599998</v>
      </c>
      <c r="E14" s="282">
        <f t="shared" si="0"/>
        <v>4.3042729195105441E-2</v>
      </c>
      <c r="F14" s="307">
        <f>'6.4'!H56</f>
        <v>-1.4470328196595071E-2</v>
      </c>
      <c r="G14" s="301">
        <v>1.3548387096774193</v>
      </c>
      <c r="H14" s="302">
        <v>8.3000000000000007</v>
      </c>
      <c r="I14" s="302">
        <v>-5.0999999999999996</v>
      </c>
      <c r="J14" s="302">
        <v>0.10000000000000005</v>
      </c>
      <c r="K14" s="301">
        <v>1.2548387096774192</v>
      </c>
    </row>
    <row r="15" spans="1:11" ht="14.15" customHeight="1">
      <c r="A15" s="137" t="s">
        <v>15</v>
      </c>
      <c r="B15" s="113">
        <f>'6.5'!D26</f>
        <v>153629</v>
      </c>
      <c r="C15" s="288">
        <f>'6.5'!E26</f>
        <v>40739.300000000003</v>
      </c>
      <c r="D15" s="113">
        <f>'6.5'!F26</f>
        <v>447203.96104000002</v>
      </c>
      <c r="E15" s="282">
        <f t="shared" si="0"/>
        <v>4.4188534670393444E-2</v>
      </c>
      <c r="F15" s="307">
        <f>'6.5'!H26</f>
        <v>-5.0339403433196261E-2</v>
      </c>
      <c r="G15" s="301">
        <v>0.93225806451612903</v>
      </c>
      <c r="H15" s="302">
        <v>10.7</v>
      </c>
      <c r="I15" s="302">
        <v>-3.4</v>
      </c>
      <c r="J15" s="302">
        <v>-0.10000000000000005</v>
      </c>
      <c r="K15" s="301">
        <v>1.032258064516129</v>
      </c>
    </row>
    <row r="16" spans="1:11" ht="14.15" customHeight="1">
      <c r="A16" s="137" t="s">
        <v>1</v>
      </c>
      <c r="B16" s="113">
        <f>'6.5'!D56</f>
        <v>368966</v>
      </c>
      <c r="C16" s="288">
        <f>'6.5'!E56</f>
        <v>98293.921732646006</v>
      </c>
      <c r="D16" s="113">
        <f>'6.5'!F56</f>
        <v>1081233.6303202398</v>
      </c>
      <c r="E16" s="282">
        <f t="shared" si="0"/>
        <v>0.10683744761359075</v>
      </c>
      <c r="F16" s="307">
        <f>'6.5'!H56</f>
        <v>-0.11803715745382229</v>
      </c>
      <c r="G16" s="301">
        <v>2.4516129032258065</v>
      </c>
      <c r="H16" s="302">
        <v>11.3</v>
      </c>
      <c r="I16" s="302">
        <v>-3.3</v>
      </c>
      <c r="J16" s="302">
        <v>1.1000000000000005</v>
      </c>
      <c r="K16" s="301">
        <v>1.351612903225806</v>
      </c>
    </row>
    <row r="17" spans="1:16" ht="14.15" customHeight="1">
      <c r="A17" s="137" t="s">
        <v>16</v>
      </c>
      <c r="B17" s="113">
        <f>'6.6'!D26</f>
        <v>275133</v>
      </c>
      <c r="C17" s="288">
        <f>'6.6'!E26</f>
        <v>122848.85985923102</v>
      </c>
      <c r="D17" s="113">
        <f>'6.6'!F26</f>
        <v>1348817.7390298222</v>
      </c>
      <c r="E17" s="282">
        <f t="shared" si="0"/>
        <v>0.13327761964932569</v>
      </c>
      <c r="F17" s="307">
        <f>'6.6'!H26</f>
        <v>5.3377105688916959E-2</v>
      </c>
      <c r="G17" s="301">
        <v>1.5935483870967748</v>
      </c>
      <c r="H17" s="302">
        <v>9.8000000000000007</v>
      </c>
      <c r="I17" s="302">
        <v>-4.3</v>
      </c>
      <c r="J17" s="302">
        <v>0.69999999999999962</v>
      </c>
      <c r="K17" s="301">
        <v>0.8935483870967752</v>
      </c>
      <c r="L17" s="68"/>
      <c r="N17" s="68"/>
      <c r="O17" s="68"/>
      <c r="P17" s="68"/>
    </row>
    <row r="18" spans="1:16" ht="14.15" customHeight="1">
      <c r="A18" s="137" t="s">
        <v>17</v>
      </c>
      <c r="B18" s="113">
        <f>'6.6'!D56</f>
        <v>213266</v>
      </c>
      <c r="C18" s="288">
        <f>'6.6'!E56</f>
        <v>111780.936</v>
      </c>
      <c r="D18" s="113">
        <f>'6.6'!F56</f>
        <v>1227535.5837960001</v>
      </c>
      <c r="E18" s="282">
        <f t="shared" si="0"/>
        <v>0.12129364547122036</v>
      </c>
      <c r="F18" s="307">
        <f>'6.6'!H56</f>
        <v>3.0505481753729528E-2</v>
      </c>
      <c r="G18" s="301">
        <v>1.4548387096774196</v>
      </c>
      <c r="H18" s="302">
        <v>9.9</v>
      </c>
      <c r="I18" s="302">
        <v>-4.9000000000000004</v>
      </c>
      <c r="J18" s="302">
        <v>0.89999999999999947</v>
      </c>
      <c r="K18" s="301">
        <v>0.55483870967742011</v>
      </c>
      <c r="L18" s="68"/>
      <c r="N18" s="68"/>
      <c r="O18" s="68"/>
      <c r="P18" s="68"/>
    </row>
    <row r="19" spans="1:16" ht="14.15" customHeight="1">
      <c r="A19" s="137" t="s">
        <v>18</v>
      </c>
      <c r="B19" s="113">
        <f>'6.7'!D26</f>
        <v>116249</v>
      </c>
      <c r="C19" s="288">
        <f>'6.7'!E26</f>
        <v>37373.277984000008</v>
      </c>
      <c r="D19" s="113">
        <f>'6.7'!F26</f>
        <v>410366.84760900005</v>
      </c>
      <c r="E19" s="282">
        <f t="shared" si="0"/>
        <v>4.0548633851497602E-2</v>
      </c>
      <c r="F19" s="307">
        <f>'6.7'!H26</f>
        <v>-1.5536563664412898E-2</v>
      </c>
      <c r="G19" s="301">
        <v>0.60645161290322558</v>
      </c>
      <c r="H19" s="302">
        <v>6.6</v>
      </c>
      <c r="I19" s="302">
        <v>-3.7</v>
      </c>
      <c r="J19" s="302">
        <v>-1.2000000000000002</v>
      </c>
      <c r="K19" s="301">
        <v>1.8064516129032258</v>
      </c>
      <c r="L19" s="68"/>
      <c r="N19" s="68"/>
      <c r="O19" s="68"/>
      <c r="P19" s="68"/>
    </row>
    <row r="20" spans="1:16" ht="14.15" customHeight="1">
      <c r="A20" s="142" t="s">
        <v>19</v>
      </c>
      <c r="B20" s="285">
        <f>'6.7'!D56</f>
        <v>150154</v>
      </c>
      <c r="C20" s="289">
        <f>'6.7'!E56</f>
        <v>47231.6</v>
      </c>
      <c r="D20" s="285">
        <f>'6.7'!F56</f>
        <v>518472.34842000005</v>
      </c>
      <c r="E20" s="286">
        <f t="shared" si="0"/>
        <v>5.1230613634364153E-2</v>
      </c>
      <c r="F20" s="308">
        <f>'6.7'!H56</f>
        <v>-2.9161176806720559E-2</v>
      </c>
      <c r="G20" s="303">
        <v>1.4677419354838706</v>
      </c>
      <c r="H20" s="304">
        <v>6.9</v>
      </c>
      <c r="I20" s="304">
        <v>-4.8</v>
      </c>
      <c r="J20" s="304">
        <v>-0.10000000000000005</v>
      </c>
      <c r="K20" s="303">
        <v>1.5677419354838706</v>
      </c>
      <c r="L20" s="68"/>
    </row>
    <row r="21" spans="1:16" ht="14.15" customHeight="1">
      <c r="A21" s="137" t="s">
        <v>0</v>
      </c>
      <c r="B21" s="139">
        <f>SUM(B7:B20)</f>
        <v>2702400</v>
      </c>
      <c r="C21" s="288">
        <f>SUM(C7:C20)</f>
        <v>921614.25759287702</v>
      </c>
      <c r="D21" s="113">
        <f>SUM(D7:D20)</f>
        <v>10120361.862545062</v>
      </c>
      <c r="E21" s="341">
        <f>SUM(E7:E20)</f>
        <v>1</v>
      </c>
      <c r="F21" s="307"/>
      <c r="G21" s="237">
        <v>1.2032258064516128</v>
      </c>
      <c r="H21" s="237">
        <v>8</v>
      </c>
      <c r="I21" s="237">
        <v>-4.0999999999999996</v>
      </c>
      <c r="J21" s="237">
        <v>-8.0645161290322551E-2</v>
      </c>
      <c r="K21" s="237">
        <v>1.2838709677419353</v>
      </c>
    </row>
    <row r="22" spans="1:16" ht="14.15" customHeight="1">
      <c r="A22" s="142" t="s">
        <v>91</v>
      </c>
      <c r="B22" s="342"/>
      <c r="C22" s="289">
        <f>'5.1'!E27</f>
        <v>16829.766197370001</v>
      </c>
      <c r="D22" s="285">
        <f>'5.1'!F27</f>
        <v>184887.87809700004</v>
      </c>
      <c r="E22" s="342"/>
      <c r="F22" s="308">
        <f>'5.1'!H27</f>
        <v>-9.2618833859070798E-2</v>
      </c>
      <c r="G22" s="243">
        <v>1.2032258064516128</v>
      </c>
      <c r="H22" s="243">
        <v>8</v>
      </c>
      <c r="I22" s="243">
        <v>-4.0999999999999996</v>
      </c>
      <c r="J22" s="243">
        <v>-8.0645161290322551E-2</v>
      </c>
      <c r="K22" s="243">
        <v>1.2838709677419353</v>
      </c>
    </row>
    <row r="23" spans="1:16" ht="14.15" customHeight="1">
      <c r="A23" s="142" t="s">
        <v>54</v>
      </c>
      <c r="B23" s="144">
        <f>B21+B22</f>
        <v>2702400</v>
      </c>
      <c r="C23" s="289">
        <f t="shared" ref="C23:D23" si="1">C21+C22</f>
        <v>938444.02379024704</v>
      </c>
      <c r="D23" s="285">
        <f t="shared" si="1"/>
        <v>10305249.740642061</v>
      </c>
      <c r="E23" s="342"/>
      <c r="F23" s="308">
        <f>'5.1'!H28</f>
        <v>-1.1377106958184184E-2</v>
      </c>
      <c r="G23" s="243">
        <v>1.2032258064516128</v>
      </c>
      <c r="H23" s="243">
        <v>8</v>
      </c>
      <c r="I23" s="243">
        <v>-4.0999999999999996</v>
      </c>
      <c r="J23" s="243">
        <v>-8.0645161290322551E-2</v>
      </c>
      <c r="K23" s="243">
        <v>1.2838709677419353</v>
      </c>
    </row>
    <row r="24" spans="1:16" ht="15" customHeight="1">
      <c r="A24" s="90"/>
      <c r="B24" s="83"/>
      <c r="C24" s="479" t="s">
        <v>230</v>
      </c>
      <c r="D24" s="479"/>
      <c r="E24" s="479"/>
      <c r="F24" s="479"/>
      <c r="G24" s="482" t="s">
        <v>228</v>
      </c>
      <c r="H24" s="482"/>
      <c r="I24" s="482"/>
      <c r="J24" s="482"/>
      <c r="K24" s="482"/>
    </row>
    <row r="25" spans="1:16" ht="15" customHeight="1">
      <c r="A25" s="83"/>
      <c r="B25" s="83"/>
      <c r="C25" s="479"/>
      <c r="D25" s="479"/>
      <c r="E25" s="479"/>
      <c r="F25" s="479"/>
      <c r="G25" s="482" t="s">
        <v>229</v>
      </c>
      <c r="H25" s="482"/>
      <c r="I25" s="482"/>
      <c r="J25" s="482"/>
      <c r="K25" s="482"/>
    </row>
    <row r="26" spans="1:16" ht="30" customHeight="1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7" spans="1:16" ht="15" customHeight="1">
      <c r="A27" s="77"/>
      <c r="B27" s="77"/>
      <c r="C27" s="83"/>
      <c r="D27" s="88"/>
      <c r="E27" s="89"/>
      <c r="F27" s="89"/>
      <c r="G27" s="83"/>
      <c r="H27" s="90"/>
      <c r="I27" s="77"/>
      <c r="J27" s="83"/>
      <c r="K27" s="83"/>
    </row>
    <row r="28" spans="1:16" ht="18" customHeight="1">
      <c r="A28" s="83"/>
      <c r="B28" s="83"/>
      <c r="C28" s="83"/>
      <c r="D28" s="88"/>
      <c r="E28" s="89"/>
      <c r="F28" s="89"/>
      <c r="G28" s="83"/>
      <c r="H28" s="83"/>
      <c r="I28" s="83"/>
      <c r="J28" s="83"/>
      <c r="K28" s="83"/>
    </row>
    <row r="29" spans="1:16" ht="15" customHeight="1">
      <c r="A29" s="443" t="s">
        <v>243</v>
      </c>
      <c r="B29" s="443"/>
      <c r="C29" s="443"/>
      <c r="D29" s="443"/>
      <c r="E29" s="443"/>
      <c r="F29" s="443" t="s">
        <v>60</v>
      </c>
      <c r="G29" s="443"/>
      <c r="H29" s="443"/>
      <c r="I29" s="443"/>
      <c r="J29" s="443"/>
      <c r="K29" s="443"/>
    </row>
    <row r="30" spans="1:16" ht="15" customHeight="1">
      <c r="A30" s="105"/>
      <c r="B30" s="480"/>
      <c r="C30" s="480"/>
      <c r="D30" s="105"/>
      <c r="E30" s="105"/>
      <c r="F30" s="105"/>
      <c r="G30" s="105"/>
      <c r="H30" s="480"/>
      <c r="I30" s="480"/>
      <c r="J30" s="105"/>
      <c r="K30" s="105"/>
    </row>
    <row r="31" spans="1:16" ht="15" customHeight="1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</row>
    <row r="32" spans="1:16" ht="15" customHeight="1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</row>
    <row r="33" spans="1:11" ht="15" customHeight="1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</row>
    <row r="34" spans="1:11" ht="15" customHeight="1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</row>
    <row r="35" spans="1:11" ht="15" customHeight="1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</row>
    <row r="36" spans="1:11" ht="15" customHeight="1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</row>
    <row r="37" spans="1:11" ht="15" customHeight="1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</row>
    <row r="38" spans="1:11" ht="15" customHeight="1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</row>
    <row r="39" spans="1:11" ht="15" customHeight="1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</row>
    <row r="40" spans="1:11" ht="15" customHeight="1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</row>
    <row r="41" spans="1:11" ht="15" customHeight="1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</row>
    <row r="42" spans="1:11" ht="15" customHeight="1"/>
    <row r="43" spans="1:11" ht="15" customHeight="1"/>
    <row r="44" spans="1:11" ht="15" customHeight="1"/>
    <row r="45" spans="1:11" ht="15" customHeight="1"/>
    <row r="46" spans="1:11" ht="15" customHeight="1"/>
    <row r="47" spans="1:11" ht="15" customHeight="1"/>
    <row r="48" spans="1:11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mergeCells count="15">
    <mergeCell ref="A1:K1"/>
    <mergeCell ref="A2:B2"/>
    <mergeCell ref="A3:K3"/>
    <mergeCell ref="B30:C30"/>
    <mergeCell ref="H30:I30"/>
    <mergeCell ref="B5:B6"/>
    <mergeCell ref="C4:F4"/>
    <mergeCell ref="G4:K4"/>
    <mergeCell ref="G24:K24"/>
    <mergeCell ref="G25:K25"/>
    <mergeCell ref="C24:F25"/>
    <mergeCell ref="F29:K29"/>
    <mergeCell ref="A29:E29"/>
    <mergeCell ref="E5:E6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33"/>
  <dimension ref="A1:P57"/>
  <sheetViews>
    <sheetView showGridLines="0" zoomScaleNormal="100" zoomScaleSheetLayoutView="100" workbookViewId="0">
      <selection activeCell="G1" sqref="G1"/>
    </sheetView>
  </sheetViews>
  <sheetFormatPr defaultColWidth="9.1796875" defaultRowHeight="12.5"/>
  <cols>
    <col min="1" max="1" width="16.26953125" style="67" customWidth="1"/>
    <col min="2" max="2" width="10.26953125" style="67" customWidth="1"/>
    <col min="3" max="3" width="10" style="67" customWidth="1"/>
    <col min="4" max="4" width="10.7265625" style="67" customWidth="1"/>
    <col min="5" max="6" width="8.54296875" style="67" customWidth="1"/>
    <col min="7" max="10" width="6.7265625" style="67" customWidth="1"/>
    <col min="11" max="11" width="8.1796875" style="67" customWidth="1"/>
    <col min="12" max="13" width="9.1796875" style="67"/>
    <col min="14" max="14" width="11.1796875" style="67" customWidth="1"/>
    <col min="15" max="16384" width="9.1796875" style="67"/>
  </cols>
  <sheetData>
    <row r="1" spans="1:11" s="93" customFormat="1" ht="18">
      <c r="A1" s="471" t="str">
        <f>"6.11 Spotřeba zemního plynu a teplota ovzduší podle krajů: "&amp;(A3)</f>
        <v>6.11 Spotřeba zemního plynu a teplota ovzduší podle krajů: IV. čtvrtletí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</row>
    <row r="2" spans="1:11" ht="6" customHeight="1">
      <c r="A2" s="475"/>
      <c r="B2" s="475"/>
      <c r="C2" s="275"/>
      <c r="D2" s="276"/>
      <c r="E2" s="277"/>
      <c r="F2" s="277"/>
      <c r="G2" s="277"/>
      <c r="H2" s="277"/>
    </row>
    <row r="3" spans="1:11" ht="20.149999999999999" customHeight="1">
      <c r="A3" s="498" t="str">
        <f>'3.1'!G5</f>
        <v>IV. čtvrtletí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</row>
    <row r="4" spans="1:11" ht="20.149999999999999" customHeight="1">
      <c r="A4" s="112"/>
      <c r="B4" s="233">
        <f>'3.1'!A4</f>
        <v>2025</v>
      </c>
      <c r="C4" s="494" t="s">
        <v>59</v>
      </c>
      <c r="D4" s="495"/>
      <c r="E4" s="495"/>
      <c r="F4" s="496"/>
      <c r="G4" s="497" t="s">
        <v>182</v>
      </c>
      <c r="H4" s="497"/>
      <c r="I4" s="497"/>
      <c r="J4" s="497"/>
      <c r="K4" s="497"/>
    </row>
    <row r="5" spans="1:11" ht="49.5" customHeight="1">
      <c r="A5" s="253"/>
      <c r="B5" s="456" t="s">
        <v>181</v>
      </c>
      <c r="C5" s="320"/>
      <c r="D5" s="321"/>
      <c r="E5" s="456" t="s">
        <v>265</v>
      </c>
      <c r="F5" s="476" t="s">
        <v>268</v>
      </c>
      <c r="G5" s="343" t="s">
        <v>61</v>
      </c>
      <c r="H5" s="343" t="s">
        <v>170</v>
      </c>
      <c r="I5" s="343" t="s">
        <v>171</v>
      </c>
      <c r="J5" s="343" t="s">
        <v>270</v>
      </c>
      <c r="K5" s="343" t="s">
        <v>271</v>
      </c>
    </row>
    <row r="6" spans="1:11" ht="15" customHeight="1">
      <c r="A6" s="201" t="s">
        <v>183</v>
      </c>
      <c r="B6" s="442"/>
      <c r="C6" s="203" t="s">
        <v>247</v>
      </c>
      <c r="D6" s="201" t="s">
        <v>248</v>
      </c>
      <c r="E6" s="442"/>
      <c r="F6" s="477"/>
      <c r="G6" s="201" t="s">
        <v>218</v>
      </c>
      <c r="H6" s="201" t="s">
        <v>218</v>
      </c>
      <c r="I6" s="201" t="s">
        <v>218</v>
      </c>
      <c r="J6" s="201" t="s">
        <v>218</v>
      </c>
      <c r="K6" s="201" t="s">
        <v>218</v>
      </c>
    </row>
    <row r="7" spans="1:11" ht="14.15" customHeight="1">
      <c r="A7" s="137" t="s">
        <v>8</v>
      </c>
      <c r="B7" s="113">
        <f>'6.1'!D32</f>
        <v>101590</v>
      </c>
      <c r="C7" s="288">
        <f>'6.1'!E32</f>
        <v>84887.138116000002</v>
      </c>
      <c r="D7" s="113">
        <f>'6.1'!F32</f>
        <v>936445.88997199992</v>
      </c>
      <c r="E7" s="282">
        <f>D7/$D$21</f>
        <v>3.6761103950651991E-2</v>
      </c>
      <c r="F7" s="307">
        <f>'6.1'!H32</f>
        <v>5.826412533708214E-2</v>
      </c>
      <c r="G7" s="301">
        <f>AVERAGE('6.8'!G7,'6.9'!G7,'6.10'!G7)</f>
        <v>3.4475985663082436</v>
      </c>
      <c r="H7" s="302">
        <f>MAX('6.8'!H7,'6.9'!H7,'6.10'!H7)</f>
        <v>11.4</v>
      </c>
      <c r="I7" s="302">
        <f>MIN('6.8'!I7,'6.9'!I7,'6.10'!I7)</f>
        <v>-6.3</v>
      </c>
      <c r="J7" s="302">
        <f>AVERAGE('6.8'!J7,'6.9'!J7,'6.10'!J7)</f>
        <v>3.0999999999999996</v>
      </c>
      <c r="K7" s="301">
        <f>G7-J7</f>
        <v>0.34759856630824393</v>
      </c>
    </row>
    <row r="8" spans="1:11" ht="14.15" customHeight="1">
      <c r="A8" s="137" t="s">
        <v>9</v>
      </c>
      <c r="B8" s="113">
        <f>'6.1'!D62</f>
        <v>367082</v>
      </c>
      <c r="C8" s="288">
        <f>'6.1'!E62</f>
        <v>304772.19999999995</v>
      </c>
      <c r="D8" s="113">
        <f>'6.1'!F62</f>
        <v>3354278.0405899999</v>
      </c>
      <c r="E8" s="282">
        <f t="shared" ref="E8:E20" si="0">D8/$D$21</f>
        <v>0.13167548178699912</v>
      </c>
      <c r="F8" s="307">
        <f>'6.1'!H62</f>
        <v>-2.5086442862992803E-2</v>
      </c>
      <c r="G8" s="301">
        <f>AVERAGE('6.8'!G8,'6.9'!G8,'6.10'!G8)</f>
        <v>4.9675268817204303</v>
      </c>
      <c r="H8" s="302">
        <f>MAX('6.8'!H8,'6.9'!H8,'6.10'!H8)</f>
        <v>13.6</v>
      </c>
      <c r="I8" s="302">
        <f>MIN('6.8'!I8,'6.9'!I8,'6.10'!I8)</f>
        <v>-4</v>
      </c>
      <c r="J8" s="302">
        <f>AVERAGE('6.8'!J8,'6.9'!J8,'6.10'!J8)</f>
        <v>3.9666666666666672</v>
      </c>
      <c r="K8" s="301">
        <f t="shared" ref="K8:K23" si="1">G8-J8</f>
        <v>1.0008602150537631</v>
      </c>
    </row>
    <row r="9" spans="1:11" ht="14.15" customHeight="1">
      <c r="A9" s="137" t="s">
        <v>10</v>
      </c>
      <c r="B9" s="113">
        <f>'6.2'!D32</f>
        <v>80703</v>
      </c>
      <c r="C9" s="288">
        <f>'6.2'!E32</f>
        <v>77896.499999999985</v>
      </c>
      <c r="D9" s="113">
        <f>'6.2'!F32</f>
        <v>857557.37934999994</v>
      </c>
      <c r="E9" s="282">
        <f t="shared" si="0"/>
        <v>3.3664257917642902E-2</v>
      </c>
      <c r="F9" s="307">
        <f>'6.2'!H32</f>
        <v>9.4717714565177816E-2</v>
      </c>
      <c r="G9" s="301">
        <f>AVERAGE('6.8'!G9,'6.9'!G9,'6.10'!G9)</f>
        <v>3.1909677419354829</v>
      </c>
      <c r="H9" s="302">
        <f>MAX('6.8'!H9,'6.9'!H9,'6.10'!H9)</f>
        <v>11.8</v>
      </c>
      <c r="I9" s="302">
        <f>MIN('6.8'!I9,'6.9'!I9,'6.10'!I9)</f>
        <v>-8.5</v>
      </c>
      <c r="J9" s="302">
        <f>AVERAGE('6.8'!J9,'6.9'!J9,'6.10'!J9)</f>
        <v>2.6666666666666661</v>
      </c>
      <c r="K9" s="301">
        <f t="shared" si="1"/>
        <v>0.52430107526881686</v>
      </c>
    </row>
    <row r="10" spans="1:11" ht="14.15" customHeight="1">
      <c r="A10" s="137" t="s">
        <v>89</v>
      </c>
      <c r="B10" s="113">
        <f>'6.2'!D62</f>
        <v>113207</v>
      </c>
      <c r="C10" s="288">
        <f>'6.2'!E62</f>
        <v>108717.7</v>
      </c>
      <c r="D10" s="113">
        <f>'6.2'!F62</f>
        <v>1196679.4723</v>
      </c>
      <c r="E10" s="282">
        <f t="shared" si="0"/>
        <v>4.6976829038298223E-2</v>
      </c>
      <c r="F10" s="307">
        <f>'6.2'!H62</f>
        <v>0.1186410158528943</v>
      </c>
      <c r="G10" s="301">
        <f>AVERAGE('6.8'!G10,'6.9'!G10,'6.10'!G10)</f>
        <v>3.8861648745519717</v>
      </c>
      <c r="H10" s="302">
        <f>MAX('6.8'!H10,'6.9'!H10,'6.10'!H10)</f>
        <v>11.2</v>
      </c>
      <c r="I10" s="302">
        <f>MIN('6.8'!I10,'6.9'!I10,'6.10'!I10)</f>
        <v>-6</v>
      </c>
      <c r="J10" s="302">
        <f>AVERAGE('6.8'!J10,'6.9'!J10,'6.10'!J10)</f>
        <v>3.2333333333333347</v>
      </c>
      <c r="K10" s="301">
        <f t="shared" si="1"/>
        <v>0.65283154121863696</v>
      </c>
    </row>
    <row r="11" spans="1:11" ht="14.15" customHeight="1">
      <c r="A11" s="137" t="s">
        <v>11</v>
      </c>
      <c r="B11" s="113">
        <f>'6.3'!D32</f>
        <v>89387</v>
      </c>
      <c r="C11" s="288">
        <f>'6.3'!E32</f>
        <v>92771.132999999987</v>
      </c>
      <c r="D11" s="113">
        <f>'6.3'!F32</f>
        <v>1021052.17833</v>
      </c>
      <c r="E11" s="282">
        <f t="shared" si="0"/>
        <v>4.0082406969345653E-2</v>
      </c>
      <c r="F11" s="307">
        <f>'6.3'!H32</f>
        <v>1.4941313761976369E-2</v>
      </c>
      <c r="G11" s="301">
        <f>AVERAGE('6.8'!G11,'6.9'!G11,'6.10'!G11)</f>
        <v>4.3216845878136203</v>
      </c>
      <c r="H11" s="302">
        <f>MAX('6.8'!H11,'6.9'!H11,'6.10'!H11)</f>
        <v>11.5</v>
      </c>
      <c r="I11" s="302">
        <f>MIN('6.8'!I11,'6.9'!I11,'6.10'!I11)</f>
        <v>-6.5</v>
      </c>
      <c r="J11" s="302">
        <f>AVERAGE('6.8'!J11,'6.9'!J11,'6.10'!J11)</f>
        <v>3.4333333333333353</v>
      </c>
      <c r="K11" s="301">
        <f t="shared" si="1"/>
        <v>0.88835125448028496</v>
      </c>
    </row>
    <row r="12" spans="1:11" ht="14.15" customHeight="1">
      <c r="A12" s="137" t="s">
        <v>12</v>
      </c>
      <c r="B12" s="113">
        <f>'6.3'!D62</f>
        <v>362417</v>
      </c>
      <c r="C12" s="288">
        <f>'6.3'!E62</f>
        <v>263579.79399999999</v>
      </c>
      <c r="D12" s="113">
        <f>'6.3'!F62</f>
        <v>2900344.6492340001</v>
      </c>
      <c r="E12" s="282">
        <f t="shared" si="0"/>
        <v>0.11385588028625587</v>
      </c>
      <c r="F12" s="307">
        <f>'6.3'!H62</f>
        <v>9.6530084040664058E-2</v>
      </c>
      <c r="G12" s="301">
        <f>AVERAGE('6.8'!G12,'6.9'!G12,'6.10'!G12)</f>
        <v>4.2968100358422943</v>
      </c>
      <c r="H12" s="302">
        <f>MAX('6.8'!H12,'6.9'!H12,'6.10'!H12)</f>
        <v>13.5</v>
      </c>
      <c r="I12" s="302">
        <f>MIN('6.8'!I12,'6.9'!I12,'6.10'!I12)</f>
        <v>-5.4</v>
      </c>
      <c r="J12" s="302">
        <f>AVERAGE('6.8'!J12,'6.9'!J12,'6.10'!J12)</f>
        <v>3.4666666666666655</v>
      </c>
      <c r="K12" s="301">
        <f t="shared" si="1"/>
        <v>0.83014336917562881</v>
      </c>
    </row>
    <row r="13" spans="1:11" ht="14.15" customHeight="1">
      <c r="A13" s="137" t="s">
        <v>13</v>
      </c>
      <c r="B13" s="113">
        <f>'6.4'!D32</f>
        <v>179423</v>
      </c>
      <c r="C13" s="288">
        <f>'6.4'!E32</f>
        <v>153984.70000000001</v>
      </c>
      <c r="D13" s="113">
        <f>'6.4'!F32</f>
        <v>1694855.2023999998</v>
      </c>
      <c r="E13" s="282">
        <f t="shared" si="0"/>
        <v>6.6533207037293582E-2</v>
      </c>
      <c r="F13" s="307">
        <f>'6.4'!H32</f>
        <v>9.0004953290593617E-2</v>
      </c>
      <c r="G13" s="301">
        <f>AVERAGE('6.8'!G13,'6.9'!G13,'6.10'!G13)</f>
        <v>4.245304659498208</v>
      </c>
      <c r="H13" s="302">
        <f>MAX('6.8'!H13,'6.9'!H13,'6.10'!H13)</f>
        <v>12.1</v>
      </c>
      <c r="I13" s="302">
        <f>MIN('6.8'!I13,'6.9'!I13,'6.10'!I13)</f>
        <v>-5.4</v>
      </c>
      <c r="J13" s="302">
        <f>AVERAGE('6.8'!J13,'6.9'!J13,'6.10'!J13)</f>
        <v>2.8999999999999986</v>
      </c>
      <c r="K13" s="301">
        <f t="shared" si="1"/>
        <v>1.3453046594982094</v>
      </c>
    </row>
    <row r="14" spans="1:11" ht="14.15" customHeight="1">
      <c r="A14" s="137" t="s">
        <v>14</v>
      </c>
      <c r="B14" s="113">
        <f>'6.4'!D62</f>
        <v>131194</v>
      </c>
      <c r="C14" s="288">
        <f>'6.4'!E62</f>
        <v>102977.57800000001</v>
      </c>
      <c r="D14" s="113">
        <f>'6.4'!F62</f>
        <v>1133505.1248089999</v>
      </c>
      <c r="E14" s="282">
        <f t="shared" si="0"/>
        <v>4.449685792624529E-2</v>
      </c>
      <c r="F14" s="307">
        <f>'6.4'!H62</f>
        <v>3.4660411804127281E-2</v>
      </c>
      <c r="G14" s="301">
        <f>AVERAGE('6.8'!G14,'6.9'!G14,'6.10'!G14)</f>
        <v>4.1976702508960573</v>
      </c>
      <c r="H14" s="302">
        <f>MAX('6.8'!H14,'6.9'!H14,'6.10'!H14)</f>
        <v>11.7</v>
      </c>
      <c r="I14" s="302">
        <f>MIN('6.8'!I14,'6.9'!I14,'6.10'!I14)</f>
        <v>-5.2</v>
      </c>
      <c r="J14" s="302">
        <f>AVERAGE('6.8'!J14,'6.9'!J14,'6.10'!J14)</f>
        <v>3.8333333333333339</v>
      </c>
      <c r="K14" s="301">
        <f t="shared" si="1"/>
        <v>0.36433691756272335</v>
      </c>
    </row>
    <row r="15" spans="1:11" ht="14.15" customHeight="1">
      <c r="A15" s="137" t="s">
        <v>15</v>
      </c>
      <c r="B15" s="113">
        <f>'6.5'!D32</f>
        <v>153629</v>
      </c>
      <c r="C15" s="288">
        <f>'6.5'!E32</f>
        <v>106133.1</v>
      </c>
      <c r="D15" s="113">
        <f>'6.5'!F32</f>
        <v>1168215.1844500001</v>
      </c>
      <c r="E15" s="282">
        <f t="shared" si="0"/>
        <v>4.5859435437941437E-2</v>
      </c>
      <c r="F15" s="307">
        <f>'6.5'!H32</f>
        <v>2.1301607534877681E-3</v>
      </c>
      <c r="G15" s="301">
        <f>AVERAGE('6.8'!G15,'6.9'!G15,'6.10'!G15)</f>
        <v>3.8280645161290323</v>
      </c>
      <c r="H15" s="302">
        <f>MAX('6.8'!H15,'6.9'!H15,'6.10'!H15)</f>
        <v>13.1</v>
      </c>
      <c r="I15" s="302">
        <f>MIN('6.8'!I15,'6.9'!I15,'6.10'!I15)</f>
        <v>-7</v>
      </c>
      <c r="J15" s="302">
        <f>AVERAGE('6.8'!J15,'6.9'!J15,'6.10'!J15)</f>
        <v>3.3999999999999986</v>
      </c>
      <c r="K15" s="301">
        <f t="shared" si="1"/>
        <v>0.42806451612903373</v>
      </c>
    </row>
    <row r="16" spans="1:11" ht="14.15" customHeight="1">
      <c r="A16" s="137" t="s">
        <v>1</v>
      </c>
      <c r="B16" s="113">
        <f>'6.5'!D62</f>
        <v>368966</v>
      </c>
      <c r="C16" s="288">
        <f>'6.5'!E62</f>
        <v>234329.780225272</v>
      </c>
      <c r="D16" s="113">
        <f>'6.5'!F62</f>
        <v>2583402.9727147794</v>
      </c>
      <c r="E16" s="282">
        <f t="shared" si="0"/>
        <v>0.1014140232162597</v>
      </c>
      <c r="F16" s="307">
        <f>'6.5'!H62</f>
        <v>-9.1143034520807034E-2</v>
      </c>
      <c r="G16" s="301">
        <f>AVERAGE('6.8'!G16,'6.9'!G16,'6.10'!G16)</f>
        <v>5.5496774193548388</v>
      </c>
      <c r="H16" s="302">
        <f>MAX('6.8'!H16,'6.9'!H16,'6.10'!H16)</f>
        <v>13.8</v>
      </c>
      <c r="I16" s="302">
        <f>MIN('6.8'!I16,'6.9'!I16,'6.10'!I16)</f>
        <v>-4.5</v>
      </c>
      <c r="J16" s="302">
        <f>AVERAGE('6.8'!J16,'6.9'!J16,'6.10'!J16)</f>
        <v>4.6000000000000014</v>
      </c>
      <c r="K16" s="301">
        <f t="shared" si="1"/>
        <v>0.9496774193548374</v>
      </c>
    </row>
    <row r="17" spans="1:16" ht="14.15" customHeight="1">
      <c r="A17" s="137" t="s">
        <v>16</v>
      </c>
      <c r="B17" s="113">
        <f>'6.6'!D32</f>
        <v>275133</v>
      </c>
      <c r="C17" s="288">
        <f>'6.6'!E32</f>
        <v>323868.49473343295</v>
      </c>
      <c r="D17" s="113">
        <f>'6.6'!F32</f>
        <v>3565607.4414275037</v>
      </c>
      <c r="E17" s="282">
        <f t="shared" si="0"/>
        <v>0.13997142515672098</v>
      </c>
      <c r="F17" s="307">
        <f>'6.6'!H32</f>
        <v>6.0000849239934595E-2</v>
      </c>
      <c r="G17" s="301">
        <f>AVERAGE('6.8'!G17,'6.9'!G17,'6.10'!G17)</f>
        <v>4.5041218637992833</v>
      </c>
      <c r="H17" s="302">
        <f>MAX('6.8'!H17,'6.9'!H17,'6.10'!H17)</f>
        <v>12.5</v>
      </c>
      <c r="I17" s="302">
        <f>MIN('6.8'!I17,'6.9'!I17,'6.10'!I17)</f>
        <v>-5.8</v>
      </c>
      <c r="J17" s="302">
        <f>AVERAGE('6.8'!J17,'6.9'!J17,'6.10'!J17)</f>
        <v>4.299999999999998</v>
      </c>
      <c r="K17" s="301">
        <f t="shared" si="1"/>
        <v>0.20412186379928521</v>
      </c>
      <c r="L17" s="68"/>
      <c r="N17" s="68"/>
      <c r="O17" s="68"/>
      <c r="P17" s="68"/>
    </row>
    <row r="18" spans="1:16" ht="14.15" customHeight="1">
      <c r="A18" s="137" t="s">
        <v>17</v>
      </c>
      <c r="B18" s="113">
        <f>'6.6'!D62</f>
        <v>213266</v>
      </c>
      <c r="C18" s="288">
        <f>'6.6'!E62</f>
        <v>246861.13100000002</v>
      </c>
      <c r="D18" s="113">
        <f>'6.6'!F62</f>
        <v>2716989.1944750003</v>
      </c>
      <c r="E18" s="282">
        <f t="shared" si="0"/>
        <v>0.10665808166863772</v>
      </c>
      <c r="F18" s="307">
        <f>'6.6'!H62</f>
        <v>-0.24085779994033399</v>
      </c>
      <c r="G18" s="301">
        <f>AVERAGE('6.8'!G18,'6.9'!G18,'6.10'!G18)</f>
        <v>4.3519354838709683</v>
      </c>
      <c r="H18" s="302">
        <f>MAX('6.8'!H18,'6.9'!H18,'6.10'!H18)</f>
        <v>12.8</v>
      </c>
      <c r="I18" s="302">
        <f>MIN('6.8'!I18,'6.9'!I18,'6.10'!I18)</f>
        <v>-6.8</v>
      </c>
      <c r="J18" s="302">
        <f>AVERAGE('6.8'!J18,'6.9'!J18,'6.10'!J18)</f>
        <v>4.3333333333333321</v>
      </c>
      <c r="K18" s="301">
        <f t="shared" si="1"/>
        <v>1.8602150537636142E-2</v>
      </c>
      <c r="L18" s="68"/>
      <c r="N18" s="68"/>
      <c r="O18" s="68"/>
      <c r="P18" s="68"/>
    </row>
    <row r="19" spans="1:16" ht="14.15" customHeight="1">
      <c r="A19" s="137" t="s">
        <v>18</v>
      </c>
      <c r="B19" s="113">
        <f>'6.7'!D32</f>
        <v>116249</v>
      </c>
      <c r="C19" s="288">
        <f>'6.7'!E32</f>
        <v>94697.175885999997</v>
      </c>
      <c r="D19" s="113">
        <f>'6.7'!F32</f>
        <v>1042571.0878889998</v>
      </c>
      <c r="E19" s="282">
        <f t="shared" si="0"/>
        <v>4.0927152917482314E-2</v>
      </c>
      <c r="F19" s="307">
        <f>'6.7'!H32</f>
        <v>2.0625745663897199E-2</v>
      </c>
      <c r="G19" s="301">
        <f>AVERAGE('6.8'!G19,'6.9'!G19,'6.10'!G19)</f>
        <v>3.4160931899641578</v>
      </c>
      <c r="H19" s="302">
        <f>MAX('6.8'!H19,'6.9'!H19,'6.10'!H19)</f>
        <v>11.3</v>
      </c>
      <c r="I19" s="302">
        <f>MIN('6.8'!I19,'6.9'!I19,'6.10'!I19)</f>
        <v>-5.7</v>
      </c>
      <c r="J19" s="302">
        <f>AVERAGE('6.8'!J19,'6.9'!J19,'6.10'!J19)</f>
        <v>2.7000000000000006</v>
      </c>
      <c r="K19" s="301">
        <f t="shared" si="1"/>
        <v>0.71609318996415716</v>
      </c>
      <c r="L19" s="68"/>
      <c r="N19" s="68"/>
      <c r="O19" s="68"/>
      <c r="P19" s="68"/>
    </row>
    <row r="20" spans="1:16" ht="14.15" customHeight="1">
      <c r="A20" s="142" t="s">
        <v>19</v>
      </c>
      <c r="B20" s="285">
        <f>'6.7'!D62</f>
        <v>150154</v>
      </c>
      <c r="C20" s="289">
        <f>'6.7'!E62</f>
        <v>118325</v>
      </c>
      <c r="D20" s="285">
        <f>'6.7'!F62</f>
        <v>1302320.1245900001</v>
      </c>
      <c r="E20" s="286">
        <f t="shared" si="0"/>
        <v>5.1123856690225337E-2</v>
      </c>
      <c r="F20" s="308">
        <f>'6.7'!H62</f>
        <v>2.793248527274407E-2</v>
      </c>
      <c r="G20" s="303">
        <f>AVERAGE('6.8'!G20,'6.9'!G20,'6.10'!G20)</f>
        <v>4.1146594982078843</v>
      </c>
      <c r="H20" s="304">
        <f>MAX('6.8'!H20,'6.9'!H20,'6.10'!H20)</f>
        <v>13.4</v>
      </c>
      <c r="I20" s="304">
        <f>MIN('6.8'!I20,'6.9'!I20,'6.10'!I20)</f>
        <v>-4.8</v>
      </c>
      <c r="J20" s="304">
        <f>AVERAGE('6.8'!J20,'6.9'!J20,'6.10'!J20)</f>
        <v>4.0000000000000009</v>
      </c>
      <c r="K20" s="303">
        <f t="shared" si="1"/>
        <v>0.11465949820788346</v>
      </c>
      <c r="L20" s="68"/>
    </row>
    <row r="21" spans="1:16" ht="14.15" customHeight="1">
      <c r="A21" s="137" t="s">
        <v>0</v>
      </c>
      <c r="B21" s="139">
        <f>SUM(B7:B20)</f>
        <v>2702400</v>
      </c>
      <c r="C21" s="288">
        <f>SUM(C7:C20)</f>
        <v>2313801.424960705</v>
      </c>
      <c r="D21" s="113">
        <f>SUM(D7:D20)</f>
        <v>25473823.94253128</v>
      </c>
      <c r="E21" s="341">
        <f>SUM(E7:E20)</f>
        <v>1.0000000000000002</v>
      </c>
      <c r="F21" s="307"/>
      <c r="G21" s="237">
        <f>AVERAGE('6.8'!G21,'6.9'!G21,'6.10'!G21)</f>
        <v>4.0442652329749089</v>
      </c>
      <c r="H21" s="237">
        <f>MAX('6.8'!H21,'6.9'!H21,'6.10'!H21)</f>
        <v>11.7</v>
      </c>
      <c r="I21" s="237">
        <f>MIN('6.8'!I21,'6.9'!I21,'6.10'!I21)</f>
        <v>-5.6</v>
      </c>
      <c r="J21" s="237">
        <f>AVERAGE('6.8'!J21,'6.9'!J21,'6.10'!J21)</f>
        <v>4.1711469534050183</v>
      </c>
      <c r="K21" s="237">
        <f t="shared" si="1"/>
        <v>-0.12688172043010937</v>
      </c>
      <c r="M21" s="94"/>
    </row>
    <row r="22" spans="1:16" ht="14.15" customHeight="1">
      <c r="A22" s="142" t="s">
        <v>91</v>
      </c>
      <c r="B22" s="342"/>
      <c r="C22" s="289">
        <f>'5.1'!E34</f>
        <v>36203.003454935002</v>
      </c>
      <c r="D22" s="285">
        <f>'5.1'!F34</f>
        <v>398689.55950099998</v>
      </c>
      <c r="E22" s="342"/>
      <c r="F22" s="308">
        <f>'5.1'!H34</f>
        <v>7.1060589440111732E-2</v>
      </c>
      <c r="G22" s="243">
        <f>AVERAGE('6.8'!G22,'6.9'!G22,'6.10'!G22)</f>
        <v>4.0442652329749089</v>
      </c>
      <c r="H22" s="243">
        <f>MAX('6.8'!H22,'6.9'!H22,'6.10'!H22)</f>
        <v>11.7</v>
      </c>
      <c r="I22" s="243">
        <f>MIN('6.8'!I22,'6.9'!I22,'6.10'!I22)</f>
        <v>-5.6</v>
      </c>
      <c r="J22" s="243">
        <f>AVERAGE('6.8'!J22,'6.9'!J22,'6.10'!J22)</f>
        <v>4.1711469534050183</v>
      </c>
      <c r="K22" s="243">
        <f t="shared" si="1"/>
        <v>-0.12688172043010937</v>
      </c>
    </row>
    <row r="23" spans="1:16" ht="14.15" customHeight="1">
      <c r="A23" s="142" t="s">
        <v>54</v>
      </c>
      <c r="B23" s="144">
        <f>B21+B22</f>
        <v>2702400</v>
      </c>
      <c r="C23" s="289">
        <f t="shared" ref="C23:D23" si="2">C21+C22</f>
        <v>2350004.4284156398</v>
      </c>
      <c r="D23" s="285">
        <f t="shared" si="2"/>
        <v>25872513.50203228</v>
      </c>
      <c r="E23" s="342"/>
      <c r="F23" s="308">
        <f>'5.1'!H35</f>
        <v>-8.396223711466106E-3</v>
      </c>
      <c r="G23" s="243">
        <f>AVERAGE('6.8'!G23,'6.9'!G23,'6.10'!G23)</f>
        <v>4.0442652329749089</v>
      </c>
      <c r="H23" s="243">
        <f>MAX('6.8'!H23,'6.9'!H23,'6.10'!H23)</f>
        <v>11.7</v>
      </c>
      <c r="I23" s="243">
        <f>MIN('6.8'!I23,'6.9'!I23,'6.10'!I23)</f>
        <v>-5.6</v>
      </c>
      <c r="J23" s="243">
        <f>AVERAGE('6.8'!J23,'6.9'!J23,'6.10'!J23)</f>
        <v>4.1711469534050183</v>
      </c>
      <c r="K23" s="243">
        <f t="shared" si="1"/>
        <v>-0.12688172043010937</v>
      </c>
    </row>
    <row r="24" spans="1:16" ht="15" customHeight="1">
      <c r="A24" s="90"/>
      <c r="B24" s="83"/>
      <c r="C24" s="479" t="s">
        <v>230</v>
      </c>
      <c r="D24" s="479"/>
      <c r="E24" s="479"/>
      <c r="F24" s="479"/>
      <c r="G24" s="482" t="s">
        <v>228</v>
      </c>
      <c r="H24" s="482"/>
      <c r="I24" s="482"/>
      <c r="J24" s="482"/>
      <c r="K24" s="482"/>
    </row>
    <row r="25" spans="1:16" ht="15" customHeight="1">
      <c r="A25" s="83"/>
      <c r="B25" s="83"/>
      <c r="C25" s="479"/>
      <c r="D25" s="479"/>
      <c r="E25" s="479"/>
      <c r="F25" s="479"/>
      <c r="G25" s="482" t="s">
        <v>229</v>
      </c>
      <c r="H25" s="482"/>
      <c r="I25" s="482"/>
      <c r="J25" s="482"/>
      <c r="K25" s="482"/>
    </row>
    <row r="26" spans="1:16" ht="30" customHeight="1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7" spans="1:16" ht="15" customHeight="1">
      <c r="A27" s="77"/>
      <c r="B27" s="77"/>
      <c r="C27" s="83"/>
      <c r="D27" s="88"/>
      <c r="E27" s="89"/>
      <c r="F27" s="89"/>
      <c r="G27" s="83"/>
      <c r="H27" s="90"/>
      <c r="I27" s="77"/>
      <c r="J27" s="83"/>
      <c r="K27" s="83"/>
    </row>
    <row r="28" spans="1:16" ht="18" customHeight="1">
      <c r="A28" s="83"/>
      <c r="B28" s="83"/>
      <c r="C28" s="83"/>
      <c r="D28" s="88"/>
      <c r="E28" s="89"/>
      <c r="F28" s="89"/>
      <c r="G28" s="83"/>
      <c r="H28" s="83"/>
      <c r="I28" s="83"/>
      <c r="J28" s="83"/>
      <c r="K28" s="83"/>
    </row>
    <row r="29" spans="1:16" ht="15" customHeight="1">
      <c r="A29" s="443" t="s">
        <v>243</v>
      </c>
      <c r="B29" s="443"/>
      <c r="C29" s="443"/>
      <c r="D29" s="443"/>
      <c r="E29" s="443"/>
      <c r="F29" s="443" t="s">
        <v>60</v>
      </c>
      <c r="G29" s="443"/>
      <c r="H29" s="443"/>
      <c r="I29" s="443"/>
      <c r="J29" s="443"/>
      <c r="K29" s="443"/>
    </row>
    <row r="30" spans="1:16" ht="15" customHeight="1">
      <c r="A30" s="105"/>
      <c r="B30" s="485"/>
      <c r="C30" s="485"/>
      <c r="D30" s="105"/>
      <c r="E30" s="105"/>
      <c r="F30" s="105"/>
      <c r="G30" s="105"/>
      <c r="H30" s="485"/>
      <c r="I30" s="480"/>
      <c r="J30" s="105"/>
      <c r="K30" s="105"/>
    </row>
    <row r="31" spans="1:16" ht="15" customHeight="1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</row>
    <row r="32" spans="1:16" ht="15" customHeight="1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</row>
    <row r="33" spans="1:11" ht="15" customHeight="1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</row>
    <row r="34" spans="1:11" ht="15" customHeight="1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</row>
    <row r="35" spans="1:11" ht="15" customHeight="1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</row>
    <row r="36" spans="1:11" ht="15" customHeight="1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</row>
    <row r="37" spans="1:11" ht="15" customHeight="1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</row>
    <row r="38" spans="1:11" ht="15" customHeight="1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</row>
    <row r="39" spans="1:11" ht="15" customHeight="1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</row>
    <row r="40" spans="1:11" ht="15" customHeight="1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</row>
    <row r="41" spans="1:11" ht="15" customHeight="1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</row>
    <row r="42" spans="1:11" ht="15" customHeight="1"/>
    <row r="43" spans="1:11" ht="15" customHeight="1"/>
    <row r="44" spans="1:11" ht="15" customHeight="1"/>
    <row r="45" spans="1:11" ht="15" customHeight="1"/>
    <row r="46" spans="1:11" ht="15" customHeight="1"/>
    <row r="47" spans="1:11" ht="15" customHeight="1"/>
    <row r="48" spans="1:11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mergeCells count="15">
    <mergeCell ref="A1:K1"/>
    <mergeCell ref="A2:B2"/>
    <mergeCell ref="A3:K3"/>
    <mergeCell ref="B30:C30"/>
    <mergeCell ref="H30:I30"/>
    <mergeCell ref="B5:B6"/>
    <mergeCell ref="C4:F4"/>
    <mergeCell ref="G4:K4"/>
    <mergeCell ref="G24:K24"/>
    <mergeCell ref="G25:K25"/>
    <mergeCell ref="C24:F25"/>
    <mergeCell ref="F29:K29"/>
    <mergeCell ref="A29:E29"/>
    <mergeCell ref="E5:E6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34"/>
  <dimension ref="A1:V58"/>
  <sheetViews>
    <sheetView showGridLines="0" topLeftCell="A13" zoomScaleNormal="100" zoomScaleSheetLayoutView="100" workbookViewId="0">
      <selection activeCell="G1" sqref="G1"/>
    </sheetView>
  </sheetViews>
  <sheetFormatPr defaultRowHeight="10"/>
  <cols>
    <col min="1" max="1" width="8" style="4" customWidth="1"/>
    <col min="2" max="2" width="7.7265625" style="4" customWidth="1"/>
    <col min="3" max="3" width="8.453125" style="4" customWidth="1"/>
    <col min="4" max="11" width="7.7265625" style="4" customWidth="1"/>
    <col min="12" max="13" width="8.54296875" style="4" customWidth="1"/>
    <col min="14" max="15" width="7.7265625" style="4" customWidth="1"/>
    <col min="16" max="16" width="9.1796875" style="4" customWidth="1"/>
    <col min="17" max="17" width="7.54296875" style="4" customWidth="1"/>
    <col min="18" max="18" width="8.54296875" style="4" customWidth="1"/>
    <col min="19" max="19" width="9.26953125" style="4" bestFit="1" customWidth="1"/>
    <col min="20" max="20" width="11.453125" style="4" bestFit="1" customWidth="1"/>
    <col min="21" max="259" width="9.1796875" style="4"/>
    <col min="260" max="272" width="10.7265625" style="4" customWidth="1"/>
    <col min="273" max="515" width="9.1796875" style="4"/>
    <col min="516" max="528" width="10.7265625" style="4" customWidth="1"/>
    <col min="529" max="771" width="9.1796875" style="4"/>
    <col min="772" max="784" width="10.7265625" style="4" customWidth="1"/>
    <col min="785" max="1027" width="9.1796875" style="4"/>
    <col min="1028" max="1040" width="10.7265625" style="4" customWidth="1"/>
    <col min="1041" max="1283" width="9.1796875" style="4"/>
    <col min="1284" max="1296" width="10.7265625" style="4" customWidth="1"/>
    <col min="1297" max="1539" width="9.1796875" style="4"/>
    <col min="1540" max="1552" width="10.7265625" style="4" customWidth="1"/>
    <col min="1553" max="1795" width="9.1796875" style="4"/>
    <col min="1796" max="1808" width="10.7265625" style="4" customWidth="1"/>
    <col min="1809" max="2051" width="9.1796875" style="4"/>
    <col min="2052" max="2064" width="10.7265625" style="4" customWidth="1"/>
    <col min="2065" max="2307" width="9.1796875" style="4"/>
    <col min="2308" max="2320" width="10.7265625" style="4" customWidth="1"/>
    <col min="2321" max="2563" width="9.1796875" style="4"/>
    <col min="2564" max="2576" width="10.7265625" style="4" customWidth="1"/>
    <col min="2577" max="2819" width="9.1796875" style="4"/>
    <col min="2820" max="2832" width="10.7265625" style="4" customWidth="1"/>
    <col min="2833" max="3075" width="9.1796875" style="4"/>
    <col min="3076" max="3088" width="10.7265625" style="4" customWidth="1"/>
    <col min="3089" max="3331" width="9.1796875" style="4"/>
    <col min="3332" max="3344" width="10.7265625" style="4" customWidth="1"/>
    <col min="3345" max="3587" width="9.1796875" style="4"/>
    <col min="3588" max="3600" width="10.7265625" style="4" customWidth="1"/>
    <col min="3601" max="3843" width="9.1796875" style="4"/>
    <col min="3844" max="3856" width="10.7265625" style="4" customWidth="1"/>
    <col min="3857" max="4099" width="9.1796875" style="4"/>
    <col min="4100" max="4112" width="10.7265625" style="4" customWidth="1"/>
    <col min="4113" max="4355" width="9.1796875" style="4"/>
    <col min="4356" max="4368" width="10.7265625" style="4" customWidth="1"/>
    <col min="4369" max="4611" width="9.1796875" style="4"/>
    <col min="4612" max="4624" width="10.7265625" style="4" customWidth="1"/>
    <col min="4625" max="4867" width="9.1796875" style="4"/>
    <col min="4868" max="4880" width="10.7265625" style="4" customWidth="1"/>
    <col min="4881" max="5123" width="9.1796875" style="4"/>
    <col min="5124" max="5136" width="10.7265625" style="4" customWidth="1"/>
    <col min="5137" max="5379" width="9.1796875" style="4"/>
    <col min="5380" max="5392" width="10.7265625" style="4" customWidth="1"/>
    <col min="5393" max="5635" width="9.1796875" style="4"/>
    <col min="5636" max="5648" width="10.7265625" style="4" customWidth="1"/>
    <col min="5649" max="5891" width="9.1796875" style="4"/>
    <col min="5892" max="5904" width="10.7265625" style="4" customWidth="1"/>
    <col min="5905" max="6147" width="9.1796875" style="4"/>
    <col min="6148" max="6160" width="10.7265625" style="4" customWidth="1"/>
    <col min="6161" max="6403" width="9.1796875" style="4"/>
    <col min="6404" max="6416" width="10.7265625" style="4" customWidth="1"/>
    <col min="6417" max="6659" width="9.1796875" style="4"/>
    <col min="6660" max="6672" width="10.7265625" style="4" customWidth="1"/>
    <col min="6673" max="6915" width="9.1796875" style="4"/>
    <col min="6916" max="6928" width="10.7265625" style="4" customWidth="1"/>
    <col min="6929" max="7171" width="9.1796875" style="4"/>
    <col min="7172" max="7184" width="10.7265625" style="4" customWidth="1"/>
    <col min="7185" max="7427" width="9.1796875" style="4"/>
    <col min="7428" max="7440" width="10.7265625" style="4" customWidth="1"/>
    <col min="7441" max="7683" width="9.1796875" style="4"/>
    <col min="7684" max="7696" width="10.7265625" style="4" customWidth="1"/>
    <col min="7697" max="7939" width="9.1796875" style="4"/>
    <col min="7940" max="7952" width="10.7265625" style="4" customWidth="1"/>
    <col min="7953" max="8195" width="9.1796875" style="4"/>
    <col min="8196" max="8208" width="10.7265625" style="4" customWidth="1"/>
    <col min="8209" max="8451" width="9.1796875" style="4"/>
    <col min="8452" max="8464" width="10.7265625" style="4" customWidth="1"/>
    <col min="8465" max="8707" width="9.1796875" style="4"/>
    <col min="8708" max="8720" width="10.7265625" style="4" customWidth="1"/>
    <col min="8721" max="8963" width="9.1796875" style="4"/>
    <col min="8964" max="8976" width="10.7265625" style="4" customWidth="1"/>
    <col min="8977" max="9219" width="9.1796875" style="4"/>
    <col min="9220" max="9232" width="10.7265625" style="4" customWidth="1"/>
    <col min="9233" max="9475" width="9.1796875" style="4"/>
    <col min="9476" max="9488" width="10.7265625" style="4" customWidth="1"/>
    <col min="9489" max="9731" width="9.1796875" style="4"/>
    <col min="9732" max="9744" width="10.7265625" style="4" customWidth="1"/>
    <col min="9745" max="9987" width="9.1796875" style="4"/>
    <col min="9988" max="10000" width="10.7265625" style="4" customWidth="1"/>
    <col min="10001" max="10243" width="9.1796875" style="4"/>
    <col min="10244" max="10256" width="10.7265625" style="4" customWidth="1"/>
    <col min="10257" max="10499" width="9.1796875" style="4"/>
    <col min="10500" max="10512" width="10.7265625" style="4" customWidth="1"/>
    <col min="10513" max="10755" width="9.1796875" style="4"/>
    <col min="10756" max="10768" width="10.7265625" style="4" customWidth="1"/>
    <col min="10769" max="11011" width="9.1796875" style="4"/>
    <col min="11012" max="11024" width="10.7265625" style="4" customWidth="1"/>
    <col min="11025" max="11267" width="9.1796875" style="4"/>
    <col min="11268" max="11280" width="10.7265625" style="4" customWidth="1"/>
    <col min="11281" max="11523" width="9.1796875" style="4"/>
    <col min="11524" max="11536" width="10.7265625" style="4" customWidth="1"/>
    <col min="11537" max="11779" width="9.1796875" style="4"/>
    <col min="11780" max="11792" width="10.7265625" style="4" customWidth="1"/>
    <col min="11793" max="12035" width="9.1796875" style="4"/>
    <col min="12036" max="12048" width="10.7265625" style="4" customWidth="1"/>
    <col min="12049" max="12291" width="9.1796875" style="4"/>
    <col min="12292" max="12304" width="10.7265625" style="4" customWidth="1"/>
    <col min="12305" max="12547" width="9.1796875" style="4"/>
    <col min="12548" max="12560" width="10.7265625" style="4" customWidth="1"/>
    <col min="12561" max="12803" width="9.1796875" style="4"/>
    <col min="12804" max="12816" width="10.7265625" style="4" customWidth="1"/>
    <col min="12817" max="13059" width="9.1796875" style="4"/>
    <col min="13060" max="13072" width="10.7265625" style="4" customWidth="1"/>
    <col min="13073" max="13315" width="9.1796875" style="4"/>
    <col min="13316" max="13328" width="10.7265625" style="4" customWidth="1"/>
    <col min="13329" max="13571" width="9.1796875" style="4"/>
    <col min="13572" max="13584" width="10.7265625" style="4" customWidth="1"/>
    <col min="13585" max="13827" width="9.1796875" style="4"/>
    <col min="13828" max="13840" width="10.7265625" style="4" customWidth="1"/>
    <col min="13841" max="14083" width="9.1796875" style="4"/>
    <col min="14084" max="14096" width="10.7265625" style="4" customWidth="1"/>
    <col min="14097" max="14339" width="9.1796875" style="4"/>
    <col min="14340" max="14352" width="10.7265625" style="4" customWidth="1"/>
    <col min="14353" max="14595" width="9.1796875" style="4"/>
    <col min="14596" max="14608" width="10.7265625" style="4" customWidth="1"/>
    <col min="14609" max="14851" width="9.1796875" style="4"/>
    <col min="14852" max="14864" width="10.7265625" style="4" customWidth="1"/>
    <col min="14865" max="15107" width="9.1796875" style="4"/>
    <col min="15108" max="15120" width="10.7265625" style="4" customWidth="1"/>
    <col min="15121" max="15363" width="9.1796875" style="4"/>
    <col min="15364" max="15376" width="10.7265625" style="4" customWidth="1"/>
    <col min="15377" max="15619" width="9.1796875" style="4"/>
    <col min="15620" max="15632" width="10.7265625" style="4" customWidth="1"/>
    <col min="15633" max="15875" width="9.1796875" style="4"/>
    <col min="15876" max="15888" width="10.7265625" style="4" customWidth="1"/>
    <col min="15889" max="16131" width="9.1796875" style="4"/>
    <col min="16132" max="16144" width="10.7265625" style="4" customWidth="1"/>
    <col min="16145" max="16384" width="9.1796875" style="4"/>
  </cols>
  <sheetData>
    <row r="1" spans="1:22" ht="18">
      <c r="A1" s="416" t="s">
        <v>294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</row>
    <row r="2" spans="1:22" ht="6" customHeight="1">
      <c r="A2" s="489"/>
      <c r="B2" s="490"/>
      <c r="C2" s="490"/>
      <c r="D2" s="490"/>
      <c r="E2" s="490"/>
      <c r="F2" s="490"/>
      <c r="G2" s="490"/>
      <c r="H2" s="490"/>
      <c r="I2" s="490"/>
      <c r="J2" s="190"/>
      <c r="K2" s="189"/>
      <c r="L2" s="189"/>
      <c r="M2" s="189"/>
      <c r="N2" s="189"/>
      <c r="O2" s="189"/>
      <c r="P2" s="189"/>
      <c r="Q2" s="189"/>
      <c r="R2" s="189"/>
    </row>
    <row r="3" spans="1:22" ht="35.15" customHeight="1">
      <c r="A3" s="412" t="s">
        <v>262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  <c r="P3" s="412"/>
      <c r="Q3" s="412"/>
      <c r="R3" s="412"/>
    </row>
    <row r="4" spans="1:22" ht="85" customHeight="1">
      <c r="A4" s="200">
        <f>'3.1'!A4</f>
        <v>2025</v>
      </c>
      <c r="B4" s="344" t="s">
        <v>66</v>
      </c>
      <c r="C4" s="344" t="s">
        <v>67</v>
      </c>
      <c r="D4" s="344" t="s">
        <v>68</v>
      </c>
      <c r="E4" s="344" t="s">
        <v>88</v>
      </c>
      <c r="F4" s="344" t="s">
        <v>69</v>
      </c>
      <c r="G4" s="344" t="s">
        <v>70</v>
      </c>
      <c r="H4" s="344" t="s">
        <v>71</v>
      </c>
      <c r="I4" s="344" t="s">
        <v>72</v>
      </c>
      <c r="J4" s="344" t="s">
        <v>73</v>
      </c>
      <c r="K4" s="344" t="s">
        <v>74</v>
      </c>
      <c r="L4" s="344" t="s">
        <v>75</v>
      </c>
      <c r="M4" s="344" t="s">
        <v>76</v>
      </c>
      <c r="N4" s="344" t="s">
        <v>77</v>
      </c>
      <c r="O4" s="344" t="s">
        <v>78</v>
      </c>
      <c r="P4" s="344" t="s">
        <v>79</v>
      </c>
      <c r="Q4" s="344" t="s">
        <v>92</v>
      </c>
      <c r="R4" s="344" t="s">
        <v>80</v>
      </c>
    </row>
    <row r="5" spans="1:22" ht="20.149999999999999" customHeight="1">
      <c r="A5" s="159" t="s">
        <v>157</v>
      </c>
      <c r="B5" s="216">
        <v>37256.678039999999</v>
      </c>
      <c r="C5" s="216">
        <v>141133.5</v>
      </c>
      <c r="D5" s="217">
        <v>29540.6</v>
      </c>
      <c r="E5" s="217">
        <v>43794.3</v>
      </c>
      <c r="F5" s="217">
        <v>41687.200000000004</v>
      </c>
      <c r="G5" s="217">
        <v>109324.60500000001</v>
      </c>
      <c r="H5" s="217">
        <v>66737.3</v>
      </c>
      <c r="I5" s="217">
        <v>44548.672999999995</v>
      </c>
      <c r="J5" s="217">
        <v>46312.399999999994</v>
      </c>
      <c r="K5" s="216">
        <v>106884.13654485799</v>
      </c>
      <c r="L5" s="216">
        <v>137296.237311462</v>
      </c>
      <c r="M5" s="217">
        <v>121581.201</v>
      </c>
      <c r="N5" s="217">
        <v>41604.536961000005</v>
      </c>
      <c r="O5" s="217">
        <v>55616.5</v>
      </c>
      <c r="P5" s="217">
        <v>1023317.86785732</v>
      </c>
      <c r="Q5" s="217">
        <v>20805.278011936</v>
      </c>
      <c r="R5" s="217">
        <v>1044123.145869256</v>
      </c>
      <c r="S5" s="48"/>
      <c r="T5" s="49"/>
      <c r="U5" s="49"/>
      <c r="V5" s="49"/>
    </row>
    <row r="6" spans="1:22" ht="20.149999999999999" customHeight="1">
      <c r="A6" s="159" t="s">
        <v>158</v>
      </c>
      <c r="B6" s="216">
        <v>33825.753743000001</v>
      </c>
      <c r="C6" s="217">
        <v>126072.59999999999</v>
      </c>
      <c r="D6" s="217">
        <v>27151.1</v>
      </c>
      <c r="E6" s="217">
        <v>39343.199999999997</v>
      </c>
      <c r="F6" s="217">
        <v>38428.899999999994</v>
      </c>
      <c r="G6" s="217">
        <v>102835.11199999999</v>
      </c>
      <c r="H6" s="217">
        <v>60696.7</v>
      </c>
      <c r="I6" s="217">
        <v>41011.747000000003</v>
      </c>
      <c r="J6" s="217">
        <v>43754.5</v>
      </c>
      <c r="K6" s="216">
        <v>98054.150130660011</v>
      </c>
      <c r="L6" s="217">
        <v>126087.01534562701</v>
      </c>
      <c r="M6" s="217">
        <v>117273.539</v>
      </c>
      <c r="N6" s="217">
        <v>38037.288257000007</v>
      </c>
      <c r="O6" s="217">
        <v>50971.1</v>
      </c>
      <c r="P6" s="217">
        <v>943542.70547628705</v>
      </c>
      <c r="Q6" s="217">
        <v>18395.061365697002</v>
      </c>
      <c r="R6" s="217">
        <v>961937.766841984</v>
      </c>
      <c r="S6" s="50"/>
      <c r="T6" s="49"/>
      <c r="U6" s="49"/>
      <c r="V6" s="49"/>
    </row>
    <row r="7" spans="1:22" ht="20.149999999999999" customHeight="1">
      <c r="A7" s="162" t="s">
        <v>159</v>
      </c>
      <c r="B7" s="219">
        <v>27109.894802999996</v>
      </c>
      <c r="C7" s="220">
        <v>93327.699999999983</v>
      </c>
      <c r="D7" s="220">
        <v>20444.699999999997</v>
      </c>
      <c r="E7" s="220">
        <v>29621.599999999999</v>
      </c>
      <c r="F7" s="220">
        <v>28676.5</v>
      </c>
      <c r="G7" s="220">
        <v>83130.546999999991</v>
      </c>
      <c r="H7" s="220">
        <v>44447.199999999997</v>
      </c>
      <c r="I7" s="220">
        <v>32208.328999999998</v>
      </c>
      <c r="J7" s="220">
        <v>34136</v>
      </c>
      <c r="K7" s="219">
        <v>72195.312303159008</v>
      </c>
      <c r="L7" s="220">
        <v>97475.939556069003</v>
      </c>
      <c r="M7" s="220">
        <v>106606.49400000001</v>
      </c>
      <c r="N7" s="220">
        <v>29053.104196</v>
      </c>
      <c r="O7" s="220">
        <v>36862.199999999997</v>
      </c>
      <c r="P7" s="220">
        <v>735295.52085822809</v>
      </c>
      <c r="Q7" s="220">
        <v>15699.913977439996</v>
      </c>
      <c r="R7" s="220">
        <v>750995.43483566807</v>
      </c>
      <c r="S7" s="51"/>
      <c r="T7" s="49"/>
      <c r="U7" s="49"/>
      <c r="V7" s="49"/>
    </row>
    <row r="8" spans="1:22" ht="20.149999999999999" customHeight="1">
      <c r="A8" s="159" t="s">
        <v>160</v>
      </c>
      <c r="B8" s="216">
        <v>17811.713689999997</v>
      </c>
      <c r="C8" s="217">
        <v>55927.899999999994</v>
      </c>
      <c r="D8" s="217">
        <v>14387.000000000002</v>
      </c>
      <c r="E8" s="217">
        <v>19064.699999999997</v>
      </c>
      <c r="F8" s="217">
        <v>17992.400000000001</v>
      </c>
      <c r="G8" s="217">
        <v>57956.154999999999</v>
      </c>
      <c r="H8" s="217">
        <v>28525.4</v>
      </c>
      <c r="I8" s="217">
        <v>22208.190999999999</v>
      </c>
      <c r="J8" s="217">
        <v>22581.3</v>
      </c>
      <c r="K8" s="216">
        <v>41713.398638147999</v>
      </c>
      <c r="L8" s="217">
        <v>61757.100059243006</v>
      </c>
      <c r="M8" s="217">
        <v>93331.968999999997</v>
      </c>
      <c r="N8" s="217">
        <v>19415.801309999999</v>
      </c>
      <c r="O8" s="217">
        <v>24395.699999999997</v>
      </c>
      <c r="P8" s="217">
        <v>497068.72869739099</v>
      </c>
      <c r="Q8" s="217">
        <v>5829.4554350019998</v>
      </c>
      <c r="R8" s="217">
        <v>502898.18413239298</v>
      </c>
      <c r="S8" s="50"/>
      <c r="T8" s="49"/>
      <c r="U8" s="49"/>
      <c r="V8" s="49"/>
    </row>
    <row r="9" spans="1:22" ht="20.149999999999999" customHeight="1">
      <c r="A9" s="159" t="s">
        <v>161</v>
      </c>
      <c r="B9" s="216">
        <v>14641.706040999998</v>
      </c>
      <c r="C9" s="217">
        <v>41762.5</v>
      </c>
      <c r="D9" s="217">
        <v>12275.199999999999</v>
      </c>
      <c r="E9" s="217">
        <v>15927.5</v>
      </c>
      <c r="F9" s="217">
        <v>15535.499999999998</v>
      </c>
      <c r="G9" s="217">
        <v>51314.402999999998</v>
      </c>
      <c r="H9" s="217">
        <v>23382.199999999997</v>
      </c>
      <c r="I9" s="217">
        <v>18492.133999999998</v>
      </c>
      <c r="J9" s="217">
        <v>18730.800000000003</v>
      </c>
      <c r="K9" s="216">
        <v>30428.436423093</v>
      </c>
      <c r="L9" s="217">
        <v>50889.21917227099</v>
      </c>
      <c r="M9" s="217">
        <v>81180.97600000001</v>
      </c>
      <c r="N9" s="217">
        <v>15460.124959000001</v>
      </c>
      <c r="O9" s="217">
        <v>19638</v>
      </c>
      <c r="P9" s="217">
        <v>409658.69959536399</v>
      </c>
      <c r="Q9" s="217">
        <v>4985.1887188109995</v>
      </c>
      <c r="R9" s="217">
        <v>414643.88831417501</v>
      </c>
      <c r="S9" s="50"/>
      <c r="T9" s="49"/>
      <c r="U9" s="49"/>
      <c r="V9" s="49"/>
    </row>
    <row r="10" spans="1:22" ht="20.149999999999999" customHeight="1">
      <c r="A10" s="162" t="s">
        <v>162</v>
      </c>
      <c r="B10" s="219">
        <v>10128.865609999999</v>
      </c>
      <c r="C10" s="220">
        <v>26274.699999999997</v>
      </c>
      <c r="D10" s="220">
        <v>11051.5</v>
      </c>
      <c r="E10" s="220">
        <v>10636.800000000001</v>
      </c>
      <c r="F10" s="220">
        <v>9641.7000000000007</v>
      </c>
      <c r="G10" s="220">
        <v>40124.402999999998</v>
      </c>
      <c r="H10" s="220">
        <v>16992.199999999997</v>
      </c>
      <c r="I10" s="220">
        <v>12614.341999999999</v>
      </c>
      <c r="J10" s="220">
        <v>12878.300000000001</v>
      </c>
      <c r="K10" s="219">
        <v>16667.889657903001</v>
      </c>
      <c r="L10" s="220">
        <v>39266.392835058999</v>
      </c>
      <c r="M10" s="220">
        <v>68056.981</v>
      </c>
      <c r="N10" s="220">
        <v>9852.6223899999986</v>
      </c>
      <c r="O10" s="220">
        <v>14005.2</v>
      </c>
      <c r="P10" s="220">
        <v>298191.89649296197</v>
      </c>
      <c r="Q10" s="220">
        <v>1217.3058910059997</v>
      </c>
      <c r="R10" s="220">
        <v>299409.20238396799</v>
      </c>
      <c r="S10" s="50"/>
      <c r="T10" s="49"/>
      <c r="U10" s="49"/>
      <c r="V10" s="49"/>
    </row>
    <row r="11" spans="1:22" ht="20.149999999999999" customHeight="1">
      <c r="A11" s="159" t="s">
        <v>163</v>
      </c>
      <c r="B11" s="216">
        <v>9845.691988999999</v>
      </c>
      <c r="C11" s="217">
        <v>25569.9</v>
      </c>
      <c r="D11" s="217">
        <v>10653.1</v>
      </c>
      <c r="E11" s="217">
        <v>9476.5</v>
      </c>
      <c r="F11" s="217">
        <v>8829.9889999999996</v>
      </c>
      <c r="G11" s="217">
        <v>35992.459000000003</v>
      </c>
      <c r="H11" s="217">
        <v>18143.699999999997</v>
      </c>
      <c r="I11" s="217">
        <v>11921.272999999999</v>
      </c>
      <c r="J11" s="217">
        <v>12970.5</v>
      </c>
      <c r="K11" s="216">
        <v>15261.285950955</v>
      </c>
      <c r="L11" s="217">
        <v>37299.213812317998</v>
      </c>
      <c r="M11" s="217">
        <v>74042.599000000002</v>
      </c>
      <c r="N11" s="217">
        <v>9128.0740120000009</v>
      </c>
      <c r="O11" s="217">
        <v>15763.300000000001</v>
      </c>
      <c r="P11" s="217">
        <v>294897.58576427295</v>
      </c>
      <c r="Q11" s="217">
        <v>-2.5380758350001145</v>
      </c>
      <c r="R11" s="217">
        <v>294895.04768843798</v>
      </c>
      <c r="S11" s="50"/>
      <c r="T11" s="49"/>
      <c r="U11" s="49"/>
      <c r="V11" s="49"/>
    </row>
    <row r="12" spans="1:22" ht="20.149999999999999" customHeight="1">
      <c r="A12" s="159" t="s">
        <v>164</v>
      </c>
      <c r="B12" s="216">
        <v>11401.884931000001</v>
      </c>
      <c r="C12" s="217">
        <v>25344</v>
      </c>
      <c r="D12" s="217">
        <v>10971.300000000001</v>
      </c>
      <c r="E12" s="217">
        <v>10265.199999999999</v>
      </c>
      <c r="F12" s="217">
        <v>8857.4830000000002</v>
      </c>
      <c r="G12" s="217">
        <v>31642.938000000006</v>
      </c>
      <c r="H12" s="217">
        <v>17717.100000000002</v>
      </c>
      <c r="I12" s="217">
        <v>11942.308999999999</v>
      </c>
      <c r="J12" s="217">
        <v>11015.433000000001</v>
      </c>
      <c r="K12" s="216">
        <v>15231.328549622998</v>
      </c>
      <c r="L12" s="217">
        <v>38315.698606619997</v>
      </c>
      <c r="M12" s="217">
        <v>53187.364000000001</v>
      </c>
      <c r="N12" s="217">
        <v>9712.4420680000003</v>
      </c>
      <c r="O12" s="217">
        <v>13047.5</v>
      </c>
      <c r="P12" s="217">
        <v>268651.981155243</v>
      </c>
      <c r="Q12" s="217">
        <v>-234.82586685499862</v>
      </c>
      <c r="R12" s="217">
        <v>268417.15528838802</v>
      </c>
      <c r="S12" s="50"/>
      <c r="T12" s="49"/>
      <c r="U12" s="49"/>
      <c r="V12" s="49"/>
    </row>
    <row r="13" spans="1:22" ht="20.149999999999999" customHeight="1">
      <c r="A13" s="162" t="s">
        <v>165</v>
      </c>
      <c r="B13" s="219">
        <v>12040.513131</v>
      </c>
      <c r="C13" s="220">
        <v>31851.4</v>
      </c>
      <c r="D13" s="220">
        <v>15668.900000000001</v>
      </c>
      <c r="E13" s="220">
        <v>13057.100000000002</v>
      </c>
      <c r="F13" s="220">
        <v>11457.092999999999</v>
      </c>
      <c r="G13" s="220">
        <v>41225.993000000002</v>
      </c>
      <c r="H13" s="220">
        <v>23589.3</v>
      </c>
      <c r="I13" s="220">
        <v>14137.147999999999</v>
      </c>
      <c r="J13" s="220">
        <v>15443.399999999998</v>
      </c>
      <c r="K13" s="219">
        <v>20890.296473914001</v>
      </c>
      <c r="L13" s="220">
        <v>43711.844025611004</v>
      </c>
      <c r="M13" s="220">
        <v>47404.115999999995</v>
      </c>
      <c r="N13" s="220">
        <v>11728.107868999999</v>
      </c>
      <c r="O13" s="220">
        <v>16128.8</v>
      </c>
      <c r="P13" s="220">
        <v>318334.01149952499</v>
      </c>
      <c r="Q13" s="220">
        <v>1931.3241215499993</v>
      </c>
      <c r="R13" s="220">
        <v>320265.33562107501</v>
      </c>
      <c r="S13" s="50"/>
      <c r="T13" s="49"/>
      <c r="U13" s="49"/>
      <c r="V13" s="49"/>
    </row>
    <row r="14" spans="1:22" ht="20.149999999999999" customHeight="1">
      <c r="A14" s="159" t="s">
        <v>166</v>
      </c>
      <c r="B14" s="216">
        <v>22502.120825999998</v>
      </c>
      <c r="C14" s="217">
        <v>75733.3</v>
      </c>
      <c r="D14" s="217">
        <v>23527.199999999997</v>
      </c>
      <c r="E14" s="217">
        <v>28958.6</v>
      </c>
      <c r="F14" s="217">
        <v>23301.972999999998</v>
      </c>
      <c r="G14" s="217">
        <v>71080.040999999997</v>
      </c>
      <c r="H14" s="217">
        <v>39720.5</v>
      </c>
      <c r="I14" s="217">
        <v>27658.484999999997</v>
      </c>
      <c r="J14" s="217">
        <v>27885.800000000003</v>
      </c>
      <c r="K14" s="216">
        <v>53363.007246883994</v>
      </c>
      <c r="L14" s="217">
        <v>88189.926598649981</v>
      </c>
      <c r="M14" s="217">
        <v>62171.625</v>
      </c>
      <c r="N14" s="217">
        <v>24414.965174000001</v>
      </c>
      <c r="O14" s="217">
        <v>30204.1</v>
      </c>
      <c r="P14" s="217">
        <v>598711.64384553395</v>
      </c>
      <c r="Q14" s="217">
        <v>6778.0740414860011</v>
      </c>
      <c r="R14" s="217">
        <v>605489.71788701997</v>
      </c>
      <c r="S14" s="50"/>
      <c r="T14" s="49"/>
      <c r="U14" s="49"/>
      <c r="V14" s="49"/>
    </row>
    <row r="15" spans="1:22" ht="20.149999999999999" customHeight="1">
      <c r="A15" s="159" t="s">
        <v>167</v>
      </c>
      <c r="B15" s="216">
        <v>29996.432272999999</v>
      </c>
      <c r="C15" s="217">
        <v>105731.8</v>
      </c>
      <c r="D15" s="217">
        <v>25153.1</v>
      </c>
      <c r="E15" s="217">
        <v>38028</v>
      </c>
      <c r="F15" s="217">
        <v>33090.146000000001</v>
      </c>
      <c r="G15" s="217">
        <v>92126.235000000015</v>
      </c>
      <c r="H15" s="217">
        <v>53996.2</v>
      </c>
      <c r="I15" s="217">
        <v>35636.248</v>
      </c>
      <c r="J15" s="217">
        <v>37508</v>
      </c>
      <c r="K15" s="216">
        <v>82672.851245742</v>
      </c>
      <c r="L15" s="217">
        <v>112829.708275552</v>
      </c>
      <c r="M15" s="217">
        <v>72908.569999999992</v>
      </c>
      <c r="N15" s="217">
        <v>32908.932728</v>
      </c>
      <c r="O15" s="217">
        <v>40889.300000000003</v>
      </c>
      <c r="P15" s="217">
        <v>793475.52352229413</v>
      </c>
      <c r="Q15" s="217">
        <v>12595.163216078998</v>
      </c>
      <c r="R15" s="217">
        <v>806070.68673837313</v>
      </c>
      <c r="S15" s="50"/>
      <c r="T15" s="49"/>
      <c r="U15" s="49"/>
      <c r="V15" s="49"/>
    </row>
    <row r="16" spans="1:22" ht="20.149999999999999" customHeight="1">
      <c r="A16" s="162" t="s">
        <v>168</v>
      </c>
      <c r="B16" s="219">
        <v>32388.585016999998</v>
      </c>
      <c r="C16" s="220">
        <v>123307.1</v>
      </c>
      <c r="D16" s="220">
        <v>29216.199999999997</v>
      </c>
      <c r="E16" s="220">
        <v>41731.100000000006</v>
      </c>
      <c r="F16" s="220">
        <v>36379.014000000003</v>
      </c>
      <c r="G16" s="220">
        <v>100373.51799999998</v>
      </c>
      <c r="H16" s="220">
        <v>60268</v>
      </c>
      <c r="I16" s="220">
        <v>39682.845000000001</v>
      </c>
      <c r="J16" s="220">
        <v>40739.300000000003</v>
      </c>
      <c r="K16" s="219">
        <v>98813.356890438998</v>
      </c>
      <c r="L16" s="220">
        <v>122848.85985923099</v>
      </c>
      <c r="M16" s="220">
        <v>111780.936</v>
      </c>
      <c r="N16" s="220">
        <v>37373.277984</v>
      </c>
      <c r="O16" s="220">
        <v>47231.6</v>
      </c>
      <c r="P16" s="220">
        <v>922133.6927506699</v>
      </c>
      <c r="Q16" s="220">
        <v>16310.329876104999</v>
      </c>
      <c r="R16" s="220">
        <v>938444.02262677485</v>
      </c>
      <c r="S16" s="50"/>
      <c r="T16" s="49"/>
      <c r="U16" s="49"/>
      <c r="V16" s="49"/>
    </row>
    <row r="17" spans="1:22" ht="20.149999999999999" customHeight="1">
      <c r="A17" s="159" t="s">
        <v>47</v>
      </c>
      <c r="B17" s="216">
        <f>SUM(B5:B7)</f>
        <v>98192.32658600001</v>
      </c>
      <c r="C17" s="216">
        <f>SUM(C5:C7)</f>
        <v>360533.79999999993</v>
      </c>
      <c r="D17" s="216">
        <f t="shared" ref="D17:J17" si="0">SUM(D5:D7)</f>
        <v>77136.399999999994</v>
      </c>
      <c r="E17" s="216">
        <f t="shared" si="0"/>
        <v>112759.1</v>
      </c>
      <c r="F17" s="216">
        <f t="shared" si="0"/>
        <v>108792.6</v>
      </c>
      <c r="G17" s="216">
        <f t="shared" si="0"/>
        <v>295290.26399999997</v>
      </c>
      <c r="H17" s="216">
        <f t="shared" si="0"/>
        <v>171881.2</v>
      </c>
      <c r="I17" s="216">
        <f t="shared" si="0"/>
        <v>117768.749</v>
      </c>
      <c r="J17" s="216">
        <f t="shared" si="0"/>
        <v>124202.9</v>
      </c>
      <c r="K17" s="216">
        <f>SUM(K5:K7)</f>
        <v>277133.59897867701</v>
      </c>
      <c r="L17" s="216">
        <f t="shared" ref="L17:R17" si="1">SUM(L5:L7)</f>
        <v>360859.19221315801</v>
      </c>
      <c r="M17" s="216">
        <f t="shared" si="1"/>
        <v>345461.234</v>
      </c>
      <c r="N17" s="216">
        <f t="shared" si="1"/>
        <v>108694.92941400001</v>
      </c>
      <c r="O17" s="216">
        <f t="shared" si="1"/>
        <v>143449.79999999999</v>
      </c>
      <c r="P17" s="216">
        <f t="shared" si="1"/>
        <v>2702156.0941918353</v>
      </c>
      <c r="Q17" s="216">
        <f t="shared" si="1"/>
        <v>54900.253355073</v>
      </c>
      <c r="R17" s="216">
        <f t="shared" si="1"/>
        <v>2757056.3475469081</v>
      </c>
    </row>
    <row r="18" spans="1:22" ht="20.149999999999999" customHeight="1">
      <c r="A18" s="159" t="s">
        <v>55</v>
      </c>
      <c r="B18" s="216">
        <f>SUM(B8:B10)</f>
        <v>42582.285340999995</v>
      </c>
      <c r="C18" s="216">
        <f>SUM(C8:C10)</f>
        <v>123965.09999999999</v>
      </c>
      <c r="D18" s="216">
        <f t="shared" ref="D18:J18" si="2">SUM(D8:D10)</f>
        <v>37713.699999999997</v>
      </c>
      <c r="E18" s="216">
        <f t="shared" si="2"/>
        <v>45629</v>
      </c>
      <c r="F18" s="216">
        <f t="shared" si="2"/>
        <v>43169.600000000006</v>
      </c>
      <c r="G18" s="216">
        <f t="shared" si="2"/>
        <v>149394.96099999998</v>
      </c>
      <c r="H18" s="216">
        <f t="shared" si="2"/>
        <v>68899.799999999988</v>
      </c>
      <c r="I18" s="216">
        <f t="shared" si="2"/>
        <v>53314.666999999994</v>
      </c>
      <c r="J18" s="216">
        <f t="shared" si="2"/>
        <v>54190.400000000009</v>
      </c>
      <c r="K18" s="216">
        <f>SUM(K8:K10)</f>
        <v>88809.724719143996</v>
      </c>
      <c r="L18" s="216">
        <f t="shared" ref="L18:R18" si="3">SUM(L8:L10)</f>
        <v>151912.712066573</v>
      </c>
      <c r="M18" s="216">
        <f t="shared" si="3"/>
        <v>242569.92600000001</v>
      </c>
      <c r="N18" s="216">
        <f t="shared" si="3"/>
        <v>44728.548659</v>
      </c>
      <c r="O18" s="216">
        <f t="shared" si="3"/>
        <v>58038.899999999994</v>
      </c>
      <c r="P18" s="216">
        <f t="shared" si="3"/>
        <v>1204919.3247857171</v>
      </c>
      <c r="Q18" s="216">
        <f t="shared" si="3"/>
        <v>12031.950044818997</v>
      </c>
      <c r="R18" s="216">
        <f t="shared" si="3"/>
        <v>1216951.274830536</v>
      </c>
    </row>
    <row r="19" spans="1:22" ht="20.149999999999999" customHeight="1">
      <c r="A19" s="159" t="s">
        <v>62</v>
      </c>
      <c r="B19" s="216">
        <f>SUM(B11:B13)</f>
        <v>33288.090050999999</v>
      </c>
      <c r="C19" s="216">
        <f>SUM(C11:C13)</f>
        <v>82765.3</v>
      </c>
      <c r="D19" s="216">
        <f t="shared" ref="D19:J19" si="4">SUM(D11:D13)</f>
        <v>37293.300000000003</v>
      </c>
      <c r="E19" s="216">
        <f t="shared" si="4"/>
        <v>32798.800000000003</v>
      </c>
      <c r="F19" s="216">
        <f t="shared" si="4"/>
        <v>29144.565000000002</v>
      </c>
      <c r="G19" s="216">
        <f t="shared" si="4"/>
        <v>108861.39000000001</v>
      </c>
      <c r="H19" s="216">
        <f t="shared" si="4"/>
        <v>59450.100000000006</v>
      </c>
      <c r="I19" s="216">
        <f t="shared" si="4"/>
        <v>38000.729999999996</v>
      </c>
      <c r="J19" s="216">
        <f t="shared" si="4"/>
        <v>39429.332999999999</v>
      </c>
      <c r="K19" s="216">
        <f>SUM(K11:K13)</f>
        <v>51382.910974491999</v>
      </c>
      <c r="L19" s="216">
        <f t="shared" ref="L19:R19" si="5">SUM(L11:L13)</f>
        <v>119326.756444549</v>
      </c>
      <c r="M19" s="216">
        <f t="shared" si="5"/>
        <v>174634.079</v>
      </c>
      <c r="N19" s="216">
        <f t="shared" si="5"/>
        <v>30568.623949000001</v>
      </c>
      <c r="O19" s="216">
        <f t="shared" si="5"/>
        <v>44939.600000000006</v>
      </c>
      <c r="P19" s="216">
        <f t="shared" si="5"/>
        <v>881883.57841904089</v>
      </c>
      <c r="Q19" s="216">
        <f t="shared" si="5"/>
        <v>1693.9601788600005</v>
      </c>
      <c r="R19" s="216">
        <f t="shared" si="5"/>
        <v>883577.538597901</v>
      </c>
    </row>
    <row r="20" spans="1:22" ht="20.149999999999999" customHeight="1">
      <c r="A20" s="162" t="s">
        <v>56</v>
      </c>
      <c r="B20" s="219">
        <f>SUM(B14:B16)</f>
        <v>84887.138115999987</v>
      </c>
      <c r="C20" s="219">
        <f>SUM(C14:C16)</f>
        <v>304772.2</v>
      </c>
      <c r="D20" s="219">
        <f t="shared" ref="D20:J20" si="6">SUM(D14:D16)</f>
        <v>77896.5</v>
      </c>
      <c r="E20" s="219">
        <f t="shared" si="6"/>
        <v>108717.70000000001</v>
      </c>
      <c r="F20" s="219">
        <f t="shared" si="6"/>
        <v>92771.133000000002</v>
      </c>
      <c r="G20" s="219">
        <f t="shared" si="6"/>
        <v>263579.79399999999</v>
      </c>
      <c r="H20" s="219">
        <f t="shared" si="6"/>
        <v>153984.70000000001</v>
      </c>
      <c r="I20" s="219">
        <f t="shared" si="6"/>
        <v>102977.57799999999</v>
      </c>
      <c r="J20" s="219">
        <f t="shared" si="6"/>
        <v>106133.1</v>
      </c>
      <c r="K20" s="219">
        <f>SUM(K14:K16)</f>
        <v>234849.21538306499</v>
      </c>
      <c r="L20" s="219">
        <f t="shared" ref="L20:R20" si="7">SUM(L14:L16)</f>
        <v>323868.49473343295</v>
      </c>
      <c r="M20" s="219">
        <f t="shared" si="7"/>
        <v>246861.13099999999</v>
      </c>
      <c r="N20" s="219">
        <f t="shared" si="7"/>
        <v>94697.175885999997</v>
      </c>
      <c r="O20" s="219">
        <f t="shared" si="7"/>
        <v>118325</v>
      </c>
      <c r="P20" s="219">
        <f t="shared" si="7"/>
        <v>2314320.8601184981</v>
      </c>
      <c r="Q20" s="219">
        <f t="shared" si="7"/>
        <v>35683.567133670003</v>
      </c>
      <c r="R20" s="219">
        <f t="shared" si="7"/>
        <v>2350004.4272521678</v>
      </c>
    </row>
    <row r="21" spans="1:22" ht="20.149999999999999" customHeight="1">
      <c r="A21" s="159" t="s">
        <v>57</v>
      </c>
      <c r="B21" s="216">
        <f>SUM(B5:B10)</f>
        <v>140774.61192700002</v>
      </c>
      <c r="C21" s="216">
        <f>SUM(C5:C10)</f>
        <v>484498.89999999997</v>
      </c>
      <c r="D21" s="216">
        <f t="shared" ref="D21:J21" si="8">SUM(D5:D10)</f>
        <v>114850.09999999999</v>
      </c>
      <c r="E21" s="216">
        <f t="shared" si="8"/>
        <v>158388.09999999998</v>
      </c>
      <c r="F21" s="216">
        <f t="shared" si="8"/>
        <v>151962.20000000001</v>
      </c>
      <c r="G21" s="216">
        <f t="shared" si="8"/>
        <v>444685.22499999998</v>
      </c>
      <c r="H21" s="216">
        <f t="shared" si="8"/>
        <v>240781</v>
      </c>
      <c r="I21" s="216">
        <f t="shared" si="8"/>
        <v>171083.416</v>
      </c>
      <c r="J21" s="216">
        <f t="shared" si="8"/>
        <v>178393.3</v>
      </c>
      <c r="K21" s="216">
        <f>SUM(K5:K10)</f>
        <v>365943.323697821</v>
      </c>
      <c r="L21" s="216">
        <f t="shared" ref="L21:R21" si="9">SUM(L5:L10)</f>
        <v>512771.90427973098</v>
      </c>
      <c r="M21" s="216">
        <f t="shared" si="9"/>
        <v>588031.16</v>
      </c>
      <c r="N21" s="216">
        <f t="shared" si="9"/>
        <v>153423.47807300001</v>
      </c>
      <c r="O21" s="216">
        <f t="shared" si="9"/>
        <v>201488.7</v>
      </c>
      <c r="P21" s="216">
        <f t="shared" si="9"/>
        <v>3907075.4189775521</v>
      </c>
      <c r="Q21" s="216">
        <f t="shared" si="9"/>
        <v>66932.203399892009</v>
      </c>
      <c r="R21" s="216">
        <f t="shared" si="9"/>
        <v>3974007.6223774441</v>
      </c>
    </row>
    <row r="22" spans="1:22" ht="20.149999999999999" customHeight="1">
      <c r="A22" s="162" t="s">
        <v>58</v>
      </c>
      <c r="B22" s="219">
        <f>SUM(B11:B16)</f>
        <v>118175.22816699999</v>
      </c>
      <c r="C22" s="219">
        <f>SUM(C11:C16)</f>
        <v>387537.5</v>
      </c>
      <c r="D22" s="219">
        <f t="shared" ref="D22:J22" si="10">SUM(D11:D16)</f>
        <v>115189.8</v>
      </c>
      <c r="E22" s="219">
        <f t="shared" si="10"/>
        <v>141516.5</v>
      </c>
      <c r="F22" s="219">
        <f t="shared" si="10"/>
        <v>121915.698</v>
      </c>
      <c r="G22" s="219">
        <f t="shared" si="10"/>
        <v>372441.18400000001</v>
      </c>
      <c r="H22" s="219">
        <f t="shared" si="10"/>
        <v>213434.8</v>
      </c>
      <c r="I22" s="219">
        <f t="shared" si="10"/>
        <v>140978.30799999999</v>
      </c>
      <c r="J22" s="219">
        <f t="shared" si="10"/>
        <v>145562.43300000002</v>
      </c>
      <c r="K22" s="219">
        <f>SUM(K11:K16)</f>
        <v>286232.12635755702</v>
      </c>
      <c r="L22" s="219">
        <f t="shared" ref="L22:R22" si="11">SUM(L11:L16)</f>
        <v>443195.25117798196</v>
      </c>
      <c r="M22" s="219">
        <f t="shared" si="11"/>
        <v>421495.20999999996</v>
      </c>
      <c r="N22" s="219">
        <f t="shared" si="11"/>
        <v>125265.799835</v>
      </c>
      <c r="O22" s="219">
        <f t="shared" si="11"/>
        <v>163264.6</v>
      </c>
      <c r="P22" s="219">
        <f t="shared" si="11"/>
        <v>3196204.438537539</v>
      </c>
      <c r="Q22" s="219">
        <f t="shared" si="11"/>
        <v>37377.527312530001</v>
      </c>
      <c r="R22" s="219">
        <f t="shared" si="11"/>
        <v>3233581.9658500692</v>
      </c>
    </row>
    <row r="23" spans="1:22" ht="20.149999999999999" customHeight="1">
      <c r="A23" s="198" t="s">
        <v>169</v>
      </c>
      <c r="B23" s="378">
        <f>SUM(B5:B16)</f>
        <v>258949.84009400001</v>
      </c>
      <c r="C23" s="378">
        <f>SUM(C5:C16)</f>
        <v>872036.40000000014</v>
      </c>
      <c r="D23" s="378">
        <f t="shared" ref="D23:J23" si="12">SUM(D5:D16)</f>
        <v>230039.89999999997</v>
      </c>
      <c r="E23" s="378">
        <f t="shared" si="12"/>
        <v>299904.59999999998</v>
      </c>
      <c r="F23" s="378">
        <f t="shared" si="12"/>
        <v>273877.89800000004</v>
      </c>
      <c r="G23" s="378">
        <f t="shared" si="12"/>
        <v>817126.40899999999</v>
      </c>
      <c r="H23" s="378">
        <f t="shared" si="12"/>
        <v>454215.8</v>
      </c>
      <c r="I23" s="378">
        <f t="shared" si="12"/>
        <v>312061.72399999993</v>
      </c>
      <c r="J23" s="378">
        <f t="shared" si="12"/>
        <v>323955.73299999995</v>
      </c>
      <c r="K23" s="378">
        <f>SUM(K5:K16)</f>
        <v>652175.45005537802</v>
      </c>
      <c r="L23" s="378">
        <f t="shared" ref="L23:R23" si="13">SUM(L5:L16)</f>
        <v>955967.15545771294</v>
      </c>
      <c r="M23" s="378">
        <f t="shared" si="13"/>
        <v>1009526.3700000001</v>
      </c>
      <c r="N23" s="378">
        <f t="shared" si="13"/>
        <v>278689.27790799999</v>
      </c>
      <c r="O23" s="378">
        <f t="shared" si="13"/>
        <v>364753.29999999993</v>
      </c>
      <c r="P23" s="378">
        <f t="shared" si="13"/>
        <v>7103279.8575150911</v>
      </c>
      <c r="Q23" s="378">
        <f t="shared" si="13"/>
        <v>104309.73071242202</v>
      </c>
      <c r="R23" s="378">
        <f t="shared" si="13"/>
        <v>7207589.5882275123</v>
      </c>
    </row>
    <row r="25" spans="1:22" ht="12" customHeight="1">
      <c r="A25" s="52"/>
      <c r="B25" s="52"/>
      <c r="C25" s="52"/>
      <c r="H25" s="52"/>
      <c r="I25" s="52"/>
      <c r="J25" s="52"/>
      <c r="K25" s="52"/>
      <c r="O25" s="52"/>
      <c r="P25" s="52"/>
      <c r="Q25" s="52"/>
      <c r="R25" s="52"/>
    </row>
    <row r="26" spans="1:22" ht="12" customHeight="1">
      <c r="E26" s="55"/>
      <c r="F26" s="55"/>
      <c r="G26" s="55"/>
      <c r="H26" s="55"/>
      <c r="L26" s="55"/>
      <c r="M26" s="55"/>
      <c r="N26" s="55"/>
    </row>
    <row r="27" spans="1:22" ht="12" customHeight="1">
      <c r="E27" s="55"/>
      <c r="F27" s="55"/>
      <c r="G27" s="55"/>
      <c r="L27" s="55"/>
      <c r="M27" s="55"/>
      <c r="N27" s="55"/>
    </row>
    <row r="28" spans="1:22" ht="12" customHeight="1">
      <c r="E28" s="55"/>
      <c r="F28" s="55"/>
      <c r="G28" s="55"/>
      <c r="L28" s="55"/>
      <c r="M28" s="55"/>
      <c r="N28" s="55"/>
    </row>
    <row r="29" spans="1:22" ht="35.15" customHeight="1">
      <c r="A29" s="412" t="s">
        <v>190</v>
      </c>
      <c r="B29" s="412"/>
      <c r="C29" s="412"/>
      <c r="D29" s="412"/>
      <c r="E29" s="412"/>
      <c r="F29" s="412"/>
      <c r="G29" s="412"/>
      <c r="H29" s="412"/>
      <c r="I29" s="412"/>
      <c r="J29" s="412"/>
      <c r="K29" s="412"/>
      <c r="L29" s="412"/>
      <c r="M29" s="412"/>
      <c r="N29" s="412"/>
      <c r="O29" s="412"/>
      <c r="P29" s="412"/>
      <c r="Q29" s="412"/>
      <c r="R29" s="412"/>
    </row>
    <row r="30" spans="1:22" ht="85" customHeight="1">
      <c r="A30" s="200">
        <f>A4</f>
        <v>2025</v>
      </c>
      <c r="B30" s="344" t="s">
        <v>66</v>
      </c>
      <c r="C30" s="344" t="s">
        <v>67</v>
      </c>
      <c r="D30" s="344" t="s">
        <v>68</v>
      </c>
      <c r="E30" s="344" t="s">
        <v>88</v>
      </c>
      <c r="F30" s="344" t="s">
        <v>69</v>
      </c>
      <c r="G30" s="344" t="s">
        <v>70</v>
      </c>
      <c r="H30" s="344" t="s">
        <v>71</v>
      </c>
      <c r="I30" s="344" t="s">
        <v>72</v>
      </c>
      <c r="J30" s="344" t="s">
        <v>73</v>
      </c>
      <c r="K30" s="344" t="s">
        <v>74</v>
      </c>
      <c r="L30" s="344" t="s">
        <v>75</v>
      </c>
      <c r="M30" s="344" t="s">
        <v>76</v>
      </c>
      <c r="N30" s="344" t="s">
        <v>77</v>
      </c>
      <c r="O30" s="344" t="s">
        <v>78</v>
      </c>
      <c r="P30" s="344" t="s">
        <v>79</v>
      </c>
      <c r="Q30" s="344" t="s">
        <v>92</v>
      </c>
      <c r="R30" s="344" t="s">
        <v>80</v>
      </c>
    </row>
    <row r="31" spans="1:22" ht="20.149999999999999" customHeight="1">
      <c r="A31" s="159" t="s">
        <v>157</v>
      </c>
      <c r="B31" s="216">
        <v>406021.57530000003</v>
      </c>
      <c r="C31" s="216">
        <v>1533782.0348200002</v>
      </c>
      <c r="D31" s="217">
        <v>321036.83449000004</v>
      </c>
      <c r="E31" s="217">
        <v>475938.28691999998</v>
      </c>
      <c r="F31" s="217">
        <v>453034.24432000006</v>
      </c>
      <c r="G31" s="217">
        <v>1187857.5282419999</v>
      </c>
      <c r="H31" s="217">
        <v>725274.34296000004</v>
      </c>
      <c r="I31" s="217">
        <v>484138.22927400004</v>
      </c>
      <c r="J31" s="217">
        <v>503304.77796000004</v>
      </c>
      <c r="K31" s="216">
        <v>1165337.6160196601</v>
      </c>
      <c r="L31" s="216">
        <v>1492524.7323643889</v>
      </c>
      <c r="M31" s="217">
        <v>1322561.8648600001</v>
      </c>
      <c r="N31" s="217">
        <v>452291.720677</v>
      </c>
      <c r="O31" s="217">
        <v>604417.16125999996</v>
      </c>
      <c r="P31" s="217">
        <v>11127520.949467048</v>
      </c>
      <c r="Q31" s="217">
        <v>226238.25053800002</v>
      </c>
      <c r="R31" s="217">
        <v>11353759.200005049</v>
      </c>
      <c r="S31" s="48"/>
      <c r="T31" s="49"/>
      <c r="U31" s="49"/>
      <c r="V31" s="49"/>
    </row>
    <row r="32" spans="1:22" ht="20.149999999999999" customHeight="1">
      <c r="A32" s="159" t="s">
        <v>158</v>
      </c>
      <c r="B32" s="216">
        <v>367817.04743199999</v>
      </c>
      <c r="C32" s="217">
        <v>1367052.55336</v>
      </c>
      <c r="D32" s="217">
        <v>294409.99049</v>
      </c>
      <c r="E32" s="217">
        <v>426612.98679</v>
      </c>
      <c r="F32" s="217">
        <v>416693.70346999995</v>
      </c>
      <c r="G32" s="217">
        <v>1114824.4459260001</v>
      </c>
      <c r="H32" s="217">
        <v>658156.81129999994</v>
      </c>
      <c r="I32" s="217">
        <v>444706.60194099997</v>
      </c>
      <c r="J32" s="217">
        <v>474445.90480000002</v>
      </c>
      <c r="K32" s="216">
        <v>1067661.9823571499</v>
      </c>
      <c r="L32" s="217">
        <v>1367730.3208086612</v>
      </c>
      <c r="M32" s="217">
        <v>1274632.044975</v>
      </c>
      <c r="N32" s="217">
        <v>412591.93368499994</v>
      </c>
      <c r="O32" s="217">
        <v>552697.90856000001</v>
      </c>
      <c r="P32" s="217">
        <v>10240034.23589481</v>
      </c>
      <c r="Q32" s="217">
        <v>199590.37809900002</v>
      </c>
      <c r="R32" s="217">
        <v>10439624.61399381</v>
      </c>
      <c r="S32" s="50"/>
      <c r="T32" s="49"/>
      <c r="U32" s="49"/>
      <c r="V32" s="49"/>
    </row>
    <row r="33" spans="1:22" ht="20.149999999999999" customHeight="1">
      <c r="A33" s="162" t="s">
        <v>159</v>
      </c>
      <c r="B33" s="219">
        <v>297020.73647499998</v>
      </c>
      <c r="C33" s="220">
        <v>1017081.4171600001</v>
      </c>
      <c r="D33" s="220">
        <v>222805.23405999999</v>
      </c>
      <c r="E33" s="220">
        <v>322814.92757999996</v>
      </c>
      <c r="F33" s="220">
        <v>312510.02060000005</v>
      </c>
      <c r="G33" s="220">
        <v>905679.37196899997</v>
      </c>
      <c r="H33" s="220">
        <v>484384.98066</v>
      </c>
      <c r="I33" s="220">
        <v>351013.23623899999</v>
      </c>
      <c r="J33" s="220">
        <v>372012.94481000002</v>
      </c>
      <c r="K33" s="219">
        <v>789995.69235423207</v>
      </c>
      <c r="L33" s="220">
        <v>1062674.5019768369</v>
      </c>
      <c r="M33" s="220">
        <v>1163840.6923849999</v>
      </c>
      <c r="N33" s="220">
        <v>316823.67237699998</v>
      </c>
      <c r="O33" s="220">
        <v>401722.42722999997</v>
      </c>
      <c r="P33" s="220">
        <v>8020379.8558760677</v>
      </c>
      <c r="Q33" s="220">
        <v>171224.30429600005</v>
      </c>
      <c r="R33" s="220">
        <v>8191604.1601720676</v>
      </c>
      <c r="S33" s="51"/>
      <c r="T33" s="49"/>
      <c r="U33" s="49"/>
      <c r="V33" s="49"/>
    </row>
    <row r="34" spans="1:22" ht="20.149999999999999" customHeight="1">
      <c r="A34" s="159" t="s">
        <v>160</v>
      </c>
      <c r="B34" s="216">
        <v>195638.723757</v>
      </c>
      <c r="C34" s="217">
        <v>612692.06140000001</v>
      </c>
      <c r="D34" s="217">
        <v>157609.54542000001</v>
      </c>
      <c r="E34" s="217">
        <v>208855.65307</v>
      </c>
      <c r="F34" s="217">
        <v>197102.41549000001</v>
      </c>
      <c r="G34" s="217">
        <v>634691.55280200008</v>
      </c>
      <c r="H34" s="217">
        <v>312494.97625999997</v>
      </c>
      <c r="I34" s="217">
        <v>243283.452881</v>
      </c>
      <c r="J34" s="217">
        <v>247377.52087000001</v>
      </c>
      <c r="K34" s="216">
        <v>456932.81462704402</v>
      </c>
      <c r="L34" s="217">
        <v>676546.12872895086</v>
      </c>
      <c r="M34" s="217">
        <v>1022154.908757</v>
      </c>
      <c r="N34" s="217">
        <v>212764.05960099999</v>
      </c>
      <c r="O34" s="217">
        <v>267255.17535999999</v>
      </c>
      <c r="P34" s="217">
        <v>5445398.9890239947</v>
      </c>
      <c r="Q34" s="217">
        <v>63918.730587999984</v>
      </c>
      <c r="R34" s="217">
        <v>5509317.7196119949</v>
      </c>
      <c r="S34" s="50"/>
      <c r="T34" s="49"/>
      <c r="U34" s="49"/>
      <c r="V34" s="49"/>
    </row>
    <row r="35" spans="1:22" ht="20.149999999999999" customHeight="1">
      <c r="A35" s="159" t="s">
        <v>161</v>
      </c>
      <c r="B35" s="216">
        <v>161310.853432</v>
      </c>
      <c r="C35" s="217">
        <v>458368.48138000001</v>
      </c>
      <c r="D35" s="217">
        <v>134727.41201999999</v>
      </c>
      <c r="E35" s="217">
        <v>174814.60817000002</v>
      </c>
      <c r="F35" s="217">
        <v>170506.34797999999</v>
      </c>
      <c r="G35" s="217">
        <v>563002.62407999998</v>
      </c>
      <c r="H35" s="217">
        <v>256633.88137000002</v>
      </c>
      <c r="I35" s="217">
        <v>202964.21802299999</v>
      </c>
      <c r="J35" s="217">
        <v>205582.40002</v>
      </c>
      <c r="K35" s="216">
        <v>333507.94214011403</v>
      </c>
      <c r="L35" s="217">
        <v>558481.11351987801</v>
      </c>
      <c r="M35" s="217">
        <v>890803.20184999995</v>
      </c>
      <c r="N35" s="217">
        <v>169755.44761099998</v>
      </c>
      <c r="O35" s="217">
        <v>215538.68428999998</v>
      </c>
      <c r="P35" s="217">
        <v>4495997.2158859922</v>
      </c>
      <c r="Q35" s="217">
        <v>54735.385220000026</v>
      </c>
      <c r="R35" s="217">
        <v>4550732.6011059918</v>
      </c>
      <c r="S35" s="50"/>
      <c r="T35" s="49"/>
      <c r="U35" s="49"/>
      <c r="V35" s="49"/>
    </row>
    <row r="36" spans="1:22" ht="20.149999999999999" customHeight="1">
      <c r="A36" s="162" t="s">
        <v>162</v>
      </c>
      <c r="B36" s="219">
        <v>111070.83888600001</v>
      </c>
      <c r="C36" s="220">
        <v>287838.46025</v>
      </c>
      <c r="D36" s="220">
        <v>121068.54981</v>
      </c>
      <c r="E36" s="220">
        <v>116525.15465999999</v>
      </c>
      <c r="F36" s="220">
        <v>105620.64004000001</v>
      </c>
      <c r="G36" s="220">
        <v>439378.68482999998</v>
      </c>
      <c r="H36" s="220">
        <v>186149.06112999999</v>
      </c>
      <c r="I36" s="220">
        <v>138189.832417</v>
      </c>
      <c r="J36" s="220">
        <v>141080.92068000001</v>
      </c>
      <c r="K36" s="219">
        <v>182314.632881208</v>
      </c>
      <c r="L36" s="220">
        <v>430125.08405279304</v>
      </c>
      <c r="M36" s="220">
        <v>745007.51005300006</v>
      </c>
      <c r="N36" s="220">
        <v>107946.69681299999</v>
      </c>
      <c r="O36" s="220">
        <v>153426.04238999999</v>
      </c>
      <c r="P36" s="220">
        <v>3265742.108893001</v>
      </c>
      <c r="Q36" s="220">
        <v>13369.070580999982</v>
      </c>
      <c r="R36" s="220">
        <v>3279111.1794740008</v>
      </c>
      <c r="S36" s="50"/>
      <c r="T36" s="49"/>
      <c r="U36" s="49"/>
      <c r="V36" s="49"/>
    </row>
    <row r="37" spans="1:22" ht="20.149999999999999" customHeight="1">
      <c r="A37" s="159" t="s">
        <v>163</v>
      </c>
      <c r="B37" s="216">
        <v>108329.34511700002</v>
      </c>
      <c r="C37" s="217">
        <v>280929.31732999999</v>
      </c>
      <c r="D37" s="217">
        <v>117042.1149</v>
      </c>
      <c r="E37" s="217">
        <v>104115.40404000001</v>
      </c>
      <c r="F37" s="217">
        <v>97008.896479999996</v>
      </c>
      <c r="G37" s="217">
        <v>395293.2771500001</v>
      </c>
      <c r="H37" s="217">
        <v>199338.27625000002</v>
      </c>
      <c r="I37" s="217">
        <v>130973.89574800001</v>
      </c>
      <c r="J37" s="217">
        <v>142502.98478</v>
      </c>
      <c r="K37" s="216">
        <v>167294.28098744201</v>
      </c>
      <c r="L37" s="217">
        <v>409711.89231756201</v>
      </c>
      <c r="M37" s="217">
        <v>813871.34034699993</v>
      </c>
      <c r="N37" s="217">
        <v>100304.359692</v>
      </c>
      <c r="O37" s="217">
        <v>173186.42184</v>
      </c>
      <c r="P37" s="217">
        <v>3239901.8069790038</v>
      </c>
      <c r="Q37" s="217">
        <v>56.396474999993188</v>
      </c>
      <c r="R37" s="217">
        <v>3239958.2034540037</v>
      </c>
      <c r="S37" s="50"/>
      <c r="T37" s="49"/>
      <c r="U37" s="49"/>
      <c r="V37" s="49"/>
    </row>
    <row r="38" spans="1:22" ht="20.149999999999999" customHeight="1">
      <c r="A38" s="159" t="s">
        <v>164</v>
      </c>
      <c r="B38" s="216">
        <v>125834.106589</v>
      </c>
      <c r="C38" s="217">
        <v>279231.27129</v>
      </c>
      <c r="D38" s="217">
        <v>120876.74722999999</v>
      </c>
      <c r="E38" s="217">
        <v>113097.41432</v>
      </c>
      <c r="F38" s="217">
        <v>97583.933840000012</v>
      </c>
      <c r="G38" s="217">
        <v>348529.10949999996</v>
      </c>
      <c r="H38" s="217">
        <v>195199.96876000002</v>
      </c>
      <c r="I38" s="217">
        <v>131579.151292</v>
      </c>
      <c r="J38" s="217">
        <v>121308.94663999999</v>
      </c>
      <c r="K38" s="216">
        <v>168037.735902218</v>
      </c>
      <c r="L38" s="217">
        <v>422182.54974677903</v>
      </c>
      <c r="M38" s="217">
        <v>586428.32687500003</v>
      </c>
      <c r="N38" s="217">
        <v>107029.38077999998</v>
      </c>
      <c r="O38" s="217">
        <v>143752.80307999998</v>
      </c>
      <c r="P38" s="217">
        <v>2960671.4458449972</v>
      </c>
      <c r="Q38" s="217">
        <v>-2556.942092000013</v>
      </c>
      <c r="R38" s="217">
        <v>2958114.5037529971</v>
      </c>
      <c r="S38" s="50"/>
      <c r="T38" s="49"/>
      <c r="U38" s="49"/>
      <c r="V38" s="49"/>
    </row>
    <row r="39" spans="1:22" ht="20.149999999999999" customHeight="1">
      <c r="A39" s="162" t="s">
        <v>165</v>
      </c>
      <c r="B39" s="219">
        <v>133190.04280699999</v>
      </c>
      <c r="C39" s="220">
        <v>352143.57253</v>
      </c>
      <c r="D39" s="220">
        <v>173232.16219999999</v>
      </c>
      <c r="E39" s="220">
        <v>144357.68417999998</v>
      </c>
      <c r="F39" s="220">
        <v>126662.16012999999</v>
      </c>
      <c r="G39" s="220">
        <v>455597.41553</v>
      </c>
      <c r="H39" s="220">
        <v>260798.89516999997</v>
      </c>
      <c r="I39" s="220">
        <v>156297.935933</v>
      </c>
      <c r="J39" s="220">
        <v>170739.31439000001</v>
      </c>
      <c r="K39" s="219">
        <v>231296.484329953</v>
      </c>
      <c r="L39" s="220">
        <v>483321.42048705509</v>
      </c>
      <c r="M39" s="220">
        <v>524057.46883300005</v>
      </c>
      <c r="N39" s="220">
        <v>129674.07979999999</v>
      </c>
      <c r="O39" s="220">
        <v>178316.55275</v>
      </c>
      <c r="P39" s="220">
        <v>3519685.1890700073</v>
      </c>
      <c r="Q39" s="220">
        <v>21503.873612999989</v>
      </c>
      <c r="R39" s="220">
        <v>3541189.0626830072</v>
      </c>
      <c r="S39" s="50"/>
      <c r="T39" s="49"/>
      <c r="U39" s="49"/>
      <c r="V39" s="49"/>
    </row>
    <row r="40" spans="1:22" ht="20.149999999999999" customHeight="1">
      <c r="A40" s="159" t="s">
        <v>166</v>
      </c>
      <c r="B40" s="216">
        <v>249508.96631400002</v>
      </c>
      <c r="C40" s="217">
        <v>836765.76994999987</v>
      </c>
      <c r="D40" s="217">
        <v>259949.05700999999</v>
      </c>
      <c r="E40" s="217">
        <v>319959.91823000001</v>
      </c>
      <c r="F40" s="217">
        <v>257454.42376999999</v>
      </c>
      <c r="G40" s="217">
        <v>785027.74226000009</v>
      </c>
      <c r="H40" s="217">
        <v>438866.37842000002</v>
      </c>
      <c r="I40" s="217">
        <v>305598.13635799999</v>
      </c>
      <c r="J40" s="217">
        <v>308106.48082000006</v>
      </c>
      <c r="K40" s="216">
        <v>590825.11016310297</v>
      </c>
      <c r="L40" s="217">
        <v>974549.00360405003</v>
      </c>
      <c r="M40" s="217">
        <v>686871.76361300005</v>
      </c>
      <c r="N40" s="217">
        <v>269874.67281000002</v>
      </c>
      <c r="O40" s="217">
        <v>333721.01887999999</v>
      </c>
      <c r="P40" s="217">
        <v>6617078.4422021536</v>
      </c>
      <c r="Q40" s="217">
        <v>74909.540072999982</v>
      </c>
      <c r="R40" s="217">
        <v>6691987.9822751535</v>
      </c>
      <c r="S40" s="50"/>
      <c r="T40" s="49"/>
      <c r="U40" s="49"/>
      <c r="V40" s="49"/>
    </row>
    <row r="41" spans="1:22" ht="20.149999999999999" customHeight="1">
      <c r="A41" s="159" t="s">
        <v>167</v>
      </c>
      <c r="B41" s="216">
        <v>330609.81978100003</v>
      </c>
      <c r="C41" s="217">
        <v>1163942.6239700001</v>
      </c>
      <c r="D41" s="217">
        <v>276896.35201000003</v>
      </c>
      <c r="E41" s="217">
        <v>418627.80072</v>
      </c>
      <c r="F41" s="217">
        <v>364263.96553999995</v>
      </c>
      <c r="G41" s="217">
        <v>1013802.9396470001</v>
      </c>
      <c r="H41" s="217">
        <v>594413.29723000003</v>
      </c>
      <c r="I41" s="217">
        <v>392298.99344500003</v>
      </c>
      <c r="J41" s="217">
        <v>412904.74259000004</v>
      </c>
      <c r="K41" s="216">
        <v>911344.23223143606</v>
      </c>
      <c r="L41" s="217">
        <v>1242240.6987936317</v>
      </c>
      <c r="M41" s="217">
        <v>802581.84706599987</v>
      </c>
      <c r="N41" s="217">
        <v>362329.56747000001</v>
      </c>
      <c r="O41" s="217">
        <v>450126.75728999998</v>
      </c>
      <c r="P41" s="217">
        <v>8736383.6377840675</v>
      </c>
      <c r="Q41" s="217">
        <v>138892.14133100002</v>
      </c>
      <c r="R41" s="217">
        <v>8875275.7791150678</v>
      </c>
      <c r="S41" s="50"/>
      <c r="T41" s="49"/>
      <c r="U41" s="49"/>
      <c r="V41" s="49"/>
    </row>
    <row r="42" spans="1:22" ht="20.149999999999999" customHeight="1">
      <c r="A42" s="162" t="s">
        <v>168</v>
      </c>
      <c r="B42" s="219">
        <v>356327.10387700005</v>
      </c>
      <c r="C42" s="220">
        <v>1353569.6466700002</v>
      </c>
      <c r="D42" s="220">
        <v>320711.97033000004</v>
      </c>
      <c r="E42" s="220">
        <v>458091.75335000001</v>
      </c>
      <c r="F42" s="220">
        <v>399333.78902000003</v>
      </c>
      <c r="G42" s="220">
        <v>1101513.9673270001</v>
      </c>
      <c r="H42" s="220">
        <v>661575.52674999996</v>
      </c>
      <c r="I42" s="220">
        <v>435607.99500600004</v>
      </c>
      <c r="J42" s="220">
        <v>447203.96104000002</v>
      </c>
      <c r="K42" s="219">
        <v>1086947.4196520289</v>
      </c>
      <c r="L42" s="220">
        <v>1348817.7390298219</v>
      </c>
      <c r="M42" s="220">
        <v>1227535.5837960001</v>
      </c>
      <c r="N42" s="220">
        <v>410366.84760899999</v>
      </c>
      <c r="O42" s="220">
        <v>518472.34841999994</v>
      </c>
      <c r="P42" s="220">
        <v>10126075.651876852</v>
      </c>
      <c r="Q42" s="220">
        <v>179174.07596700001</v>
      </c>
      <c r="R42" s="220">
        <v>10305249.727843853</v>
      </c>
      <c r="S42" s="50"/>
      <c r="T42" s="49"/>
      <c r="U42" s="49"/>
      <c r="V42" s="49"/>
    </row>
    <row r="43" spans="1:22" ht="20.149999999999999" customHeight="1">
      <c r="A43" s="159" t="s">
        <v>47</v>
      </c>
      <c r="B43" s="216">
        <f>SUM(B31:B33)</f>
        <v>1070859.3592069999</v>
      </c>
      <c r="C43" s="216">
        <f>SUM(C31:C33)</f>
        <v>3917916.0053400001</v>
      </c>
      <c r="D43" s="216">
        <f t="shared" ref="D43:J43" si="14">SUM(D31:D33)</f>
        <v>838252.05903999996</v>
      </c>
      <c r="E43" s="216">
        <f t="shared" si="14"/>
        <v>1225366.20129</v>
      </c>
      <c r="F43" s="216">
        <f t="shared" si="14"/>
        <v>1182237.9683900001</v>
      </c>
      <c r="G43" s="216">
        <f t="shared" si="14"/>
        <v>3208361.3461369998</v>
      </c>
      <c r="H43" s="216">
        <f t="shared" si="14"/>
        <v>1867816.1349200001</v>
      </c>
      <c r="I43" s="216">
        <f t="shared" si="14"/>
        <v>1279858.067454</v>
      </c>
      <c r="J43" s="216">
        <f t="shared" si="14"/>
        <v>1349763.62757</v>
      </c>
      <c r="K43" s="216">
        <f>SUM(K31:K33)</f>
        <v>3022995.2907310422</v>
      </c>
      <c r="L43" s="216">
        <f t="shared" ref="L43:Q43" si="15">SUM(L31:L33)</f>
        <v>3922929.5551498872</v>
      </c>
      <c r="M43" s="216">
        <f t="shared" si="15"/>
        <v>3761034.6022199998</v>
      </c>
      <c r="N43" s="216">
        <f t="shared" si="15"/>
        <v>1181707.3267389999</v>
      </c>
      <c r="O43" s="216">
        <f t="shared" si="15"/>
        <v>1558837.4970499999</v>
      </c>
      <c r="P43" s="216">
        <f t="shared" si="15"/>
        <v>29387935.041237928</v>
      </c>
      <c r="Q43" s="216">
        <f t="shared" si="15"/>
        <v>597052.93293300015</v>
      </c>
      <c r="R43" s="216">
        <f>SUM(R31:R33)</f>
        <v>29984987.974170927</v>
      </c>
    </row>
    <row r="44" spans="1:22" ht="20.149999999999999" customHeight="1">
      <c r="A44" s="159" t="s">
        <v>55</v>
      </c>
      <c r="B44" s="216">
        <f>SUM(B34:B36)</f>
        <v>468020.41607499996</v>
      </c>
      <c r="C44" s="216">
        <f>SUM(C34:C36)</f>
        <v>1358899.00303</v>
      </c>
      <c r="D44" s="216">
        <f t="shared" ref="D44:J44" si="16">SUM(D34:D36)</f>
        <v>413405.50725000002</v>
      </c>
      <c r="E44" s="216">
        <f t="shared" si="16"/>
        <v>500195.41590000002</v>
      </c>
      <c r="F44" s="216">
        <f t="shared" si="16"/>
        <v>473229.40351000003</v>
      </c>
      <c r="G44" s="216">
        <f t="shared" si="16"/>
        <v>1637072.8617120001</v>
      </c>
      <c r="H44" s="216">
        <f t="shared" si="16"/>
        <v>755277.91876000003</v>
      </c>
      <c r="I44" s="216">
        <f t="shared" si="16"/>
        <v>584437.50332100003</v>
      </c>
      <c r="J44" s="216">
        <f t="shared" si="16"/>
        <v>594040.84157000005</v>
      </c>
      <c r="K44" s="216">
        <f>SUM(K34:K36)</f>
        <v>972755.38964836602</v>
      </c>
      <c r="L44" s="216">
        <f t="shared" ref="L44:Q44" si="17">SUM(L34:L36)</f>
        <v>1665152.326301622</v>
      </c>
      <c r="M44" s="216">
        <f t="shared" si="17"/>
        <v>2657965.62066</v>
      </c>
      <c r="N44" s="216">
        <f t="shared" si="17"/>
        <v>490466.20402499998</v>
      </c>
      <c r="O44" s="216">
        <f t="shared" si="17"/>
        <v>636219.90203999996</v>
      </c>
      <c r="P44" s="216">
        <f t="shared" si="17"/>
        <v>13207138.313802989</v>
      </c>
      <c r="Q44" s="216">
        <f t="shared" si="17"/>
        <v>132023.18638899998</v>
      </c>
      <c r="R44" s="216">
        <f>SUM(R34:R36)</f>
        <v>13339161.500191987</v>
      </c>
    </row>
    <row r="45" spans="1:22" ht="20.149999999999999" customHeight="1">
      <c r="A45" s="159" t="s">
        <v>62</v>
      </c>
      <c r="B45" s="216">
        <f>SUM(B37:B39)</f>
        <v>367353.49451300001</v>
      </c>
      <c r="C45" s="216">
        <f>SUM(C37:C39)</f>
        <v>912304.16115000006</v>
      </c>
      <c r="D45" s="216">
        <f t="shared" ref="D45:J45" si="18">SUM(D37:D39)</f>
        <v>411151.02432999999</v>
      </c>
      <c r="E45" s="216">
        <f t="shared" si="18"/>
        <v>361570.50254000002</v>
      </c>
      <c r="F45" s="216">
        <f t="shared" si="18"/>
        <v>321254.99044999998</v>
      </c>
      <c r="G45" s="216">
        <f t="shared" si="18"/>
        <v>1199419.8021800001</v>
      </c>
      <c r="H45" s="216">
        <f t="shared" si="18"/>
        <v>655337.1401800001</v>
      </c>
      <c r="I45" s="216">
        <f t="shared" si="18"/>
        <v>418850.98297299998</v>
      </c>
      <c r="J45" s="216">
        <f t="shared" si="18"/>
        <v>434551.24580999999</v>
      </c>
      <c r="K45" s="216">
        <f>SUM(K37:K39)</f>
        <v>566628.50121961301</v>
      </c>
      <c r="L45" s="216">
        <f t="shared" ref="L45:R45" si="19">SUM(L37:L39)</f>
        <v>1315215.8625513962</v>
      </c>
      <c r="M45" s="216">
        <f t="shared" si="19"/>
        <v>1924357.1360550001</v>
      </c>
      <c r="N45" s="216">
        <f t="shared" si="19"/>
        <v>337007.82027199998</v>
      </c>
      <c r="O45" s="216">
        <f t="shared" si="19"/>
        <v>495255.77766999998</v>
      </c>
      <c r="P45" s="216">
        <f t="shared" si="19"/>
        <v>9720258.4418940078</v>
      </c>
      <c r="Q45" s="216">
        <f t="shared" si="19"/>
        <v>19003.327995999971</v>
      </c>
      <c r="R45" s="216">
        <f t="shared" si="19"/>
        <v>9739261.7698900085</v>
      </c>
    </row>
    <row r="46" spans="1:22" ht="20.149999999999999" customHeight="1">
      <c r="A46" s="162" t="s">
        <v>56</v>
      </c>
      <c r="B46" s="219">
        <f>SUM(B40:B42)</f>
        <v>936445.88997200015</v>
      </c>
      <c r="C46" s="219">
        <f>SUM(C40:C42)</f>
        <v>3354278.0405900003</v>
      </c>
      <c r="D46" s="219">
        <f t="shared" ref="D46:J46" si="20">SUM(D40:D42)</f>
        <v>857557.37935000006</v>
      </c>
      <c r="E46" s="219">
        <f t="shared" si="20"/>
        <v>1196679.4723</v>
      </c>
      <c r="F46" s="219">
        <f t="shared" si="20"/>
        <v>1021052.17833</v>
      </c>
      <c r="G46" s="219">
        <f t="shared" si="20"/>
        <v>2900344.6492340001</v>
      </c>
      <c r="H46" s="219">
        <f t="shared" si="20"/>
        <v>1694855.2024000001</v>
      </c>
      <c r="I46" s="219">
        <f t="shared" si="20"/>
        <v>1133505.1248090002</v>
      </c>
      <c r="J46" s="219">
        <f t="shared" si="20"/>
        <v>1168215.1844500001</v>
      </c>
      <c r="K46" s="219">
        <f>SUM(K40:K42)</f>
        <v>2589116.7620465681</v>
      </c>
      <c r="L46" s="219">
        <f t="shared" ref="L46:R46" si="21">SUM(L40:L42)</f>
        <v>3565607.4414275037</v>
      </c>
      <c r="M46" s="219">
        <f t="shared" si="21"/>
        <v>2716989.1944749998</v>
      </c>
      <c r="N46" s="219">
        <f t="shared" si="21"/>
        <v>1042571.0878890001</v>
      </c>
      <c r="O46" s="219">
        <f t="shared" si="21"/>
        <v>1302320.1245899999</v>
      </c>
      <c r="P46" s="219">
        <f t="shared" si="21"/>
        <v>25479537.731863074</v>
      </c>
      <c r="Q46" s="219">
        <f t="shared" si="21"/>
        <v>392975.75737100001</v>
      </c>
      <c r="R46" s="219">
        <f t="shared" si="21"/>
        <v>25872513.489234075</v>
      </c>
    </row>
    <row r="47" spans="1:22" ht="20.149999999999999" customHeight="1">
      <c r="A47" s="159" t="s">
        <v>57</v>
      </c>
      <c r="B47" s="216">
        <f>SUM(B31:B36)</f>
        <v>1538879.7752819997</v>
      </c>
      <c r="C47" s="216">
        <f>SUM(C31:C36)</f>
        <v>5276815.0083700009</v>
      </c>
      <c r="D47" s="216">
        <f t="shared" ref="D47:J47" si="22">SUM(D31:D36)</f>
        <v>1251657.56629</v>
      </c>
      <c r="E47" s="216">
        <f t="shared" si="22"/>
        <v>1725561.6171900001</v>
      </c>
      <c r="F47" s="216">
        <f t="shared" si="22"/>
        <v>1655467.3719000001</v>
      </c>
      <c r="G47" s="216">
        <f t="shared" si="22"/>
        <v>4845434.2078489996</v>
      </c>
      <c r="H47" s="216">
        <f t="shared" si="22"/>
        <v>2623094.0536799999</v>
      </c>
      <c r="I47" s="216">
        <f t="shared" si="22"/>
        <v>1864295.5707750001</v>
      </c>
      <c r="J47" s="216">
        <f t="shared" si="22"/>
        <v>1943804.4691400002</v>
      </c>
      <c r="K47" s="216">
        <f>SUM(K31:K36)</f>
        <v>3995750.6803794079</v>
      </c>
      <c r="L47" s="216">
        <f t="shared" ref="L47:R47" si="23">SUM(L31:L36)</f>
        <v>5588081.881451509</v>
      </c>
      <c r="M47" s="216">
        <f t="shared" si="23"/>
        <v>6419000.2228800002</v>
      </c>
      <c r="N47" s="216">
        <f t="shared" si="23"/>
        <v>1672173.5307639998</v>
      </c>
      <c r="O47" s="216">
        <f t="shared" si="23"/>
        <v>2195057.39909</v>
      </c>
      <c r="P47" s="216">
        <f t="shared" si="23"/>
        <v>42595073.355040908</v>
      </c>
      <c r="Q47" s="216">
        <f t="shared" si="23"/>
        <v>729076.11932200019</v>
      </c>
      <c r="R47" s="216">
        <f t="shared" si="23"/>
        <v>43324149.474362917</v>
      </c>
    </row>
    <row r="48" spans="1:22" ht="20.149999999999999" customHeight="1">
      <c r="A48" s="162" t="s">
        <v>58</v>
      </c>
      <c r="B48" s="219">
        <f>SUM(B37:B42)</f>
        <v>1303799.384485</v>
      </c>
      <c r="C48" s="219">
        <f>SUM(C37:C42)</f>
        <v>4266582.2017400004</v>
      </c>
      <c r="D48" s="219">
        <f t="shared" ref="D48:J48" si="24">SUM(D37:D42)</f>
        <v>1268708.40368</v>
      </c>
      <c r="E48" s="219">
        <f t="shared" si="24"/>
        <v>1558249.9748399998</v>
      </c>
      <c r="F48" s="219">
        <f t="shared" si="24"/>
        <v>1342307.1687799999</v>
      </c>
      <c r="G48" s="219">
        <f t="shared" si="24"/>
        <v>4099764.4514140007</v>
      </c>
      <c r="H48" s="219">
        <f t="shared" si="24"/>
        <v>2350192.3425799999</v>
      </c>
      <c r="I48" s="219">
        <f t="shared" si="24"/>
        <v>1552356.1077820002</v>
      </c>
      <c r="J48" s="219">
        <f t="shared" si="24"/>
        <v>1602766.4302600001</v>
      </c>
      <c r="K48" s="219">
        <f>SUM(K37:K42)</f>
        <v>3155745.2632661806</v>
      </c>
      <c r="L48" s="219">
        <f t="shared" ref="L48:R48" si="25">SUM(L37:L42)</f>
        <v>4880823.3039789004</v>
      </c>
      <c r="M48" s="219">
        <f t="shared" si="25"/>
        <v>4641346.3305299999</v>
      </c>
      <c r="N48" s="219">
        <f t="shared" si="25"/>
        <v>1379578.9081609999</v>
      </c>
      <c r="O48" s="219">
        <f t="shared" si="25"/>
        <v>1797575.9022599999</v>
      </c>
      <c r="P48" s="219">
        <f t="shared" si="25"/>
        <v>35199796.173757076</v>
      </c>
      <c r="Q48" s="219">
        <f t="shared" si="25"/>
        <v>411979.08536699996</v>
      </c>
      <c r="R48" s="219">
        <f t="shared" si="25"/>
        <v>35611775.259124078</v>
      </c>
    </row>
    <row r="49" spans="1:18" ht="20.149999999999999" customHeight="1">
      <c r="A49" s="162" t="s">
        <v>169</v>
      </c>
      <c r="B49" s="219">
        <f>SUM(B31:B42)</f>
        <v>2842679.1597669995</v>
      </c>
      <c r="C49" s="219">
        <f>SUM(C31:C42)</f>
        <v>9543397.2101099994</v>
      </c>
      <c r="D49" s="219">
        <f t="shared" ref="D49:J49" si="26">SUM(D31:D42)</f>
        <v>2520365.96997</v>
      </c>
      <c r="E49" s="219">
        <f t="shared" si="26"/>
        <v>3283811.5920299999</v>
      </c>
      <c r="F49" s="219">
        <f t="shared" si="26"/>
        <v>2997774.5406800001</v>
      </c>
      <c r="G49" s="219">
        <f t="shared" si="26"/>
        <v>8945198.6592629999</v>
      </c>
      <c r="H49" s="219">
        <f t="shared" si="26"/>
        <v>4973286.3962599998</v>
      </c>
      <c r="I49" s="219">
        <f t="shared" si="26"/>
        <v>3416651.6785570001</v>
      </c>
      <c r="J49" s="219">
        <f t="shared" si="26"/>
        <v>3546570.8994000005</v>
      </c>
      <c r="K49" s="219">
        <f>SUM(K31:K42)</f>
        <v>7151495.9436455891</v>
      </c>
      <c r="L49" s="219">
        <f t="shared" ref="L49:R49" si="27">SUM(L31:L42)</f>
        <v>10468905.185430408</v>
      </c>
      <c r="M49" s="219">
        <f t="shared" si="27"/>
        <v>11060346.553410001</v>
      </c>
      <c r="N49" s="219">
        <f t="shared" si="27"/>
        <v>3051752.4389249999</v>
      </c>
      <c r="O49" s="219">
        <f t="shared" si="27"/>
        <v>3992633.3013499994</v>
      </c>
      <c r="P49" s="219">
        <f t="shared" si="27"/>
        <v>77794869.528797984</v>
      </c>
      <c r="Q49" s="219">
        <f t="shared" si="27"/>
        <v>1141055.2046890003</v>
      </c>
      <c r="R49" s="219">
        <f t="shared" si="27"/>
        <v>78935924.733486995</v>
      </c>
    </row>
    <row r="50" spans="1:18" ht="12" customHeight="1">
      <c r="E50" s="55"/>
      <c r="F50" s="55"/>
      <c r="G50" s="55"/>
      <c r="L50" s="55"/>
      <c r="M50" s="55"/>
      <c r="N50" s="55"/>
    </row>
    <row r="51" spans="1:18" ht="12" customHeight="1">
      <c r="E51" s="55"/>
      <c r="F51" s="55"/>
      <c r="G51" s="55"/>
      <c r="L51" s="55"/>
      <c r="M51" s="55"/>
      <c r="N51" s="55"/>
    </row>
    <row r="52" spans="1:18" ht="12" customHeight="1">
      <c r="E52" s="55"/>
      <c r="F52" s="55"/>
      <c r="G52" s="55"/>
      <c r="L52" s="55"/>
      <c r="M52" s="55"/>
      <c r="N52" s="55"/>
    </row>
    <row r="53" spans="1:18" ht="12" customHeight="1">
      <c r="E53" s="55"/>
      <c r="F53" s="55"/>
      <c r="G53" s="55"/>
      <c r="L53" s="55"/>
      <c r="M53" s="55"/>
      <c r="N53" s="55"/>
    </row>
    <row r="54" spans="1:18" ht="12" customHeight="1"/>
    <row r="55" spans="1:18" ht="12" customHeight="1"/>
    <row r="56" spans="1:18" ht="12" customHeight="1"/>
    <row r="57" spans="1:18" ht="12" customHeight="1"/>
    <row r="58" spans="1:18" ht="12" customHeight="1"/>
  </sheetData>
  <mergeCells count="4">
    <mergeCell ref="A29:R29"/>
    <mergeCell ref="A1:R1"/>
    <mergeCell ref="A2:I2"/>
    <mergeCell ref="A3:R3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18:R18 B44:Q44" formulaRange="1"/>
  </ignoredError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List6"/>
  <dimension ref="A1:U29"/>
  <sheetViews>
    <sheetView showGridLines="0" topLeftCell="A15" zoomScaleNormal="100" zoomScaleSheetLayoutView="100" workbookViewId="0">
      <selection activeCell="G1" sqref="G1"/>
    </sheetView>
  </sheetViews>
  <sheetFormatPr defaultColWidth="9.1796875" defaultRowHeight="12.5"/>
  <cols>
    <col min="1" max="1" width="6.453125" style="96" customWidth="1"/>
    <col min="2" max="6" width="4.7265625" style="96" customWidth="1"/>
    <col min="7" max="9" width="4.81640625" style="96" customWidth="1"/>
    <col min="10" max="14" width="4.7265625" style="96" customWidth="1"/>
    <col min="15" max="15" width="3.7265625" style="96" customWidth="1"/>
    <col min="16" max="19" width="4.7265625" style="96" customWidth="1"/>
    <col min="20" max="20" width="3.7265625" style="96" customWidth="1"/>
    <col min="21" max="21" width="5" style="96" customWidth="1"/>
    <col min="22" max="16384" width="9.1796875" style="96"/>
  </cols>
  <sheetData>
    <row r="1" spans="1:20" ht="20">
      <c r="A1" s="102" t="s">
        <v>277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</row>
    <row r="2" spans="1:20" ht="15" customHeight="1">
      <c r="E2" s="97"/>
      <c r="F2" s="97"/>
    </row>
    <row r="3" spans="1:20" ht="15" customHeight="1">
      <c r="A3" s="427" t="s">
        <v>184</v>
      </c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7"/>
      <c r="P3" s="427"/>
      <c r="Q3" s="427"/>
      <c r="R3" s="427"/>
      <c r="S3" s="427"/>
      <c r="T3" s="427"/>
    </row>
    <row r="4" spans="1:20" ht="15" customHeight="1">
      <c r="A4" s="63"/>
      <c r="C4" s="98"/>
      <c r="D4" s="98"/>
      <c r="E4" s="98"/>
      <c r="F4" s="98"/>
      <c r="G4" s="98"/>
      <c r="H4" s="53"/>
      <c r="I4" s="53"/>
    </row>
    <row r="5" spans="1:20" ht="15" customHeight="1">
      <c r="A5" s="63"/>
      <c r="C5" s="98"/>
      <c r="D5" s="98"/>
      <c r="E5" s="98"/>
      <c r="F5" s="98"/>
      <c r="G5" s="98"/>
      <c r="H5" s="53"/>
      <c r="I5" s="53"/>
    </row>
    <row r="6" spans="1:20" ht="15" customHeight="1">
      <c r="A6" s="63"/>
      <c r="B6" s="99"/>
      <c r="C6" s="99"/>
      <c r="D6" s="98"/>
      <c r="E6" s="98"/>
      <c r="F6" s="98"/>
      <c r="G6" s="99"/>
      <c r="H6" s="4"/>
      <c r="I6" s="53"/>
    </row>
    <row r="7" spans="1:20" ht="15" customHeight="1">
      <c r="A7" s="63"/>
      <c r="B7" s="99"/>
      <c r="C7" s="99"/>
      <c r="D7" s="98"/>
      <c r="E7" s="98"/>
      <c r="F7" s="98"/>
      <c r="G7" s="99"/>
      <c r="H7" s="4"/>
      <c r="I7" s="53"/>
    </row>
    <row r="8" spans="1:20" ht="15" customHeight="1">
      <c r="A8" s="63"/>
      <c r="B8" s="99"/>
      <c r="C8" s="99"/>
      <c r="D8" s="98"/>
      <c r="E8" s="98"/>
      <c r="F8" s="98"/>
      <c r="G8" s="99"/>
      <c r="H8" s="4"/>
      <c r="I8" s="53"/>
    </row>
    <row r="9" spans="1:20" ht="15" customHeight="1">
      <c r="A9" s="63"/>
      <c r="B9" s="98"/>
      <c r="C9" s="98"/>
      <c r="D9" s="98"/>
      <c r="E9" s="98"/>
      <c r="F9" s="98"/>
      <c r="G9" s="99"/>
      <c r="H9" s="4"/>
      <c r="I9" s="53"/>
    </row>
    <row r="10" spans="1:20" ht="15" customHeight="1">
      <c r="A10" s="63"/>
      <c r="B10" s="98"/>
      <c r="C10" s="98"/>
      <c r="D10" s="98"/>
      <c r="E10" s="98"/>
      <c r="F10" s="98"/>
      <c r="G10" s="98"/>
      <c r="H10" s="53"/>
      <c r="I10" s="53"/>
    </row>
    <row r="11" spans="1:20" ht="15" customHeight="1">
      <c r="A11" s="63"/>
      <c r="B11" s="98"/>
      <c r="C11" s="98"/>
      <c r="D11" s="98"/>
      <c r="E11" s="98"/>
      <c r="F11" s="98"/>
      <c r="G11" s="98"/>
      <c r="H11" s="53"/>
      <c r="I11" s="53"/>
    </row>
    <row r="12" spans="1:20" ht="15" customHeight="1">
      <c r="A12" s="63"/>
      <c r="B12" s="98"/>
      <c r="C12" s="98"/>
      <c r="D12" s="98"/>
      <c r="E12" s="98"/>
      <c r="F12" s="98"/>
      <c r="G12" s="98"/>
      <c r="H12" s="53"/>
      <c r="I12" s="53"/>
    </row>
    <row r="13" spans="1:20" ht="15" customHeight="1">
      <c r="A13" s="63"/>
      <c r="B13" s="98"/>
      <c r="C13" s="98"/>
      <c r="D13" s="98"/>
      <c r="E13" s="98"/>
      <c r="F13" s="98"/>
      <c r="G13" s="98"/>
      <c r="H13" s="53"/>
      <c r="I13" s="53"/>
    </row>
    <row r="14" spans="1:20" ht="15" customHeight="1">
      <c r="A14" s="63"/>
      <c r="B14" s="98"/>
      <c r="C14" s="98"/>
      <c r="D14" s="98"/>
      <c r="E14" s="98"/>
      <c r="F14" s="98"/>
      <c r="G14" s="98"/>
      <c r="H14" s="100"/>
      <c r="I14" s="100"/>
    </row>
    <row r="15" spans="1:20" ht="15" customHeight="1">
      <c r="H15" s="101"/>
      <c r="I15" s="101"/>
    </row>
    <row r="16" spans="1:20" ht="15" customHeight="1"/>
    <row r="17" spans="2:21" ht="15" customHeight="1"/>
    <row r="18" spans="2:21" ht="15" customHeight="1"/>
    <row r="19" spans="2:21" ht="15" customHeight="1"/>
    <row r="20" spans="2:21" ht="15" customHeight="1"/>
    <row r="21" spans="2:21" ht="13" customHeight="1">
      <c r="B21" s="4"/>
      <c r="C21" s="4"/>
      <c r="D21" s="4"/>
    </row>
    <row r="22" spans="2:21" ht="13" customHeight="1">
      <c r="B22" s="4"/>
      <c r="C22" s="4"/>
      <c r="D22" s="4"/>
      <c r="G22" s="499"/>
      <c r="H22" s="499"/>
      <c r="I22" s="499"/>
      <c r="K22" s="499"/>
      <c r="L22" s="499"/>
      <c r="M22" s="499"/>
      <c r="N22" s="499"/>
      <c r="P22" s="499"/>
      <c r="Q22" s="499"/>
      <c r="R22" s="499"/>
      <c r="S22" s="499"/>
      <c r="T22" s="499"/>
      <c r="U22" s="499"/>
    </row>
    <row r="23" spans="2:21" ht="13" customHeight="1">
      <c r="B23" s="4"/>
      <c r="C23" s="4"/>
      <c r="D23" s="4"/>
      <c r="G23" s="499"/>
      <c r="H23" s="499"/>
      <c r="I23" s="499"/>
      <c r="K23" s="500"/>
      <c r="L23" s="500"/>
      <c r="M23" s="500"/>
      <c r="N23" s="500"/>
      <c r="P23" s="499"/>
      <c r="Q23" s="499"/>
      <c r="R23" s="499"/>
      <c r="S23" s="499"/>
      <c r="T23" s="499"/>
      <c r="U23" s="499"/>
    </row>
    <row r="24" spans="2:21" ht="13" customHeight="1">
      <c r="B24" s="4"/>
      <c r="C24" s="4"/>
      <c r="D24" s="4"/>
      <c r="G24" s="499"/>
      <c r="H24" s="499"/>
      <c r="I24" s="499"/>
      <c r="K24" s="500"/>
      <c r="L24" s="500"/>
      <c r="M24" s="500"/>
      <c r="N24" s="500"/>
      <c r="P24" s="500"/>
      <c r="Q24" s="500"/>
      <c r="R24" s="500"/>
      <c r="S24" s="500"/>
      <c r="T24" s="500"/>
      <c r="U24" s="500"/>
    </row>
    <row r="25" spans="2:21" ht="12" customHeight="1">
      <c r="H25" s="101"/>
      <c r="I25" s="101"/>
      <c r="P25" s="500"/>
      <c r="Q25" s="500"/>
      <c r="R25" s="500"/>
      <c r="S25" s="500"/>
      <c r="T25" s="500"/>
      <c r="U25" s="500"/>
    </row>
    <row r="26" spans="2:21" ht="15" customHeight="1"/>
    <row r="27" spans="2:21" ht="15" customHeight="1"/>
    <row r="28" spans="2:21" ht="15" customHeight="1"/>
    <row r="29" spans="2:21" ht="15" customHeight="1"/>
  </sheetData>
  <mergeCells count="9">
    <mergeCell ref="A3:T3"/>
    <mergeCell ref="G22:I22"/>
    <mergeCell ref="K22:N22"/>
    <mergeCell ref="P22:U22"/>
    <mergeCell ref="G23:I23"/>
    <mergeCell ref="K23:N24"/>
    <mergeCell ref="P23:U23"/>
    <mergeCell ref="G24:I24"/>
    <mergeCell ref="P24:U2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7CD3B-C327-4840-8DA5-C5AE8410C6E1}">
  <dimension ref="A47:C50"/>
  <sheetViews>
    <sheetView showGridLines="0" topLeftCell="A16" zoomScaleNormal="100" workbookViewId="0">
      <selection activeCell="G1" sqref="G1"/>
    </sheetView>
  </sheetViews>
  <sheetFormatPr defaultColWidth="9.1796875" defaultRowHeight="12.5"/>
  <cols>
    <col min="1" max="1" width="9.1796875" style="352"/>
    <col min="2" max="2" width="11.26953125" style="352" bestFit="1" customWidth="1"/>
    <col min="3" max="16384" width="9.1796875" style="352"/>
  </cols>
  <sheetData>
    <row r="47" spans="1:3" ht="14">
      <c r="A47" s="353" t="s">
        <v>296</v>
      </c>
    </row>
    <row r="48" spans="1:3" ht="14">
      <c r="A48" s="354" t="s">
        <v>302</v>
      </c>
      <c r="B48" s="355"/>
      <c r="C48" s="355"/>
    </row>
    <row r="50" spans="1:2" ht="14">
      <c r="A50" s="356" t="s">
        <v>298</v>
      </c>
      <c r="B50" s="357">
        <f ca="1">TODAY()</f>
        <v>46059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B42"/>
  <sheetViews>
    <sheetView showGridLines="0" zoomScaleNormal="100" zoomScaleSheetLayoutView="100" workbookViewId="0">
      <selection activeCell="G1" sqref="G1"/>
    </sheetView>
  </sheetViews>
  <sheetFormatPr defaultColWidth="9.1796875" defaultRowHeight="14"/>
  <cols>
    <col min="1" max="1" width="20.26953125" style="1" customWidth="1"/>
    <col min="2" max="2" width="79" style="21" customWidth="1"/>
    <col min="3" max="3" width="6.54296875" style="19" customWidth="1"/>
    <col min="4" max="4" width="11.7265625" style="19" customWidth="1"/>
    <col min="5" max="6" width="9.1796875" style="19"/>
    <col min="7" max="7" width="11.7265625" style="19" customWidth="1"/>
    <col min="8" max="16384" width="9.1796875" style="19"/>
  </cols>
  <sheetData>
    <row r="1" spans="1:2" ht="20">
      <c r="A1" s="46" t="s">
        <v>272</v>
      </c>
      <c r="B1" s="18"/>
    </row>
    <row r="2" spans="1:2" ht="6" customHeight="1">
      <c r="B2" s="18"/>
    </row>
    <row r="3" spans="1:2" ht="40" customHeight="1">
      <c r="A3" s="10" t="s">
        <v>226</v>
      </c>
      <c r="B3" s="11" t="s">
        <v>299</v>
      </c>
    </row>
    <row r="4" spans="1:2" ht="25" customHeight="1">
      <c r="A4" s="12" t="s">
        <v>90</v>
      </c>
      <c r="B4" s="13" t="s">
        <v>95</v>
      </c>
    </row>
    <row r="5" spans="1:2" ht="25" customHeight="1">
      <c r="A5" s="12" t="s">
        <v>96</v>
      </c>
      <c r="B5" s="14" t="s">
        <v>97</v>
      </c>
    </row>
    <row r="6" spans="1:2" ht="25" customHeight="1">
      <c r="A6" s="12" t="s">
        <v>7</v>
      </c>
      <c r="B6" s="13" t="s">
        <v>98</v>
      </c>
    </row>
    <row r="7" spans="1:2" ht="25" customHeight="1">
      <c r="A7" s="12" t="s">
        <v>99</v>
      </c>
      <c r="B7" s="13" t="s">
        <v>100</v>
      </c>
    </row>
    <row r="8" spans="1:2" ht="25" customHeight="1">
      <c r="A8" s="12" t="s">
        <v>101</v>
      </c>
      <c r="B8" s="13" t="s">
        <v>102</v>
      </c>
    </row>
    <row r="9" spans="1:2" ht="25" customHeight="1">
      <c r="A9" s="12" t="s">
        <v>314</v>
      </c>
      <c r="B9" s="13" t="s">
        <v>311</v>
      </c>
    </row>
    <row r="10" spans="1:2" ht="25" customHeight="1">
      <c r="A10" s="12" t="s">
        <v>84</v>
      </c>
      <c r="B10" s="15" t="s">
        <v>198</v>
      </c>
    </row>
    <row r="11" spans="1:2" ht="25" customHeight="1">
      <c r="A11" s="12" t="s">
        <v>301</v>
      </c>
      <c r="B11" s="13" t="s">
        <v>305</v>
      </c>
    </row>
    <row r="12" spans="1:2" ht="25" customHeight="1">
      <c r="A12" s="12" t="s">
        <v>103</v>
      </c>
      <c r="B12" s="13" t="s">
        <v>104</v>
      </c>
    </row>
    <row r="13" spans="1:2" ht="25" customHeight="1">
      <c r="A13" s="12" t="s">
        <v>105</v>
      </c>
      <c r="B13" s="13" t="s">
        <v>106</v>
      </c>
    </row>
    <row r="14" spans="1:2" ht="25" customHeight="1">
      <c r="A14" s="12" t="s">
        <v>107</v>
      </c>
      <c r="B14" s="13" t="s">
        <v>108</v>
      </c>
    </row>
    <row r="15" spans="1:2" ht="25" customHeight="1">
      <c r="A15" s="12" t="s">
        <v>201</v>
      </c>
      <c r="B15" s="13" t="s">
        <v>202</v>
      </c>
    </row>
    <row r="16" spans="1:2" ht="25" customHeight="1">
      <c r="A16" s="12" t="s">
        <v>303</v>
      </c>
      <c r="B16" s="13" t="s">
        <v>304</v>
      </c>
    </row>
    <row r="17" spans="1:2" ht="25" customHeight="1">
      <c r="A17" s="12" t="s">
        <v>6</v>
      </c>
      <c r="B17" s="13" t="s">
        <v>109</v>
      </c>
    </row>
    <row r="18" spans="1:2" ht="25" customHeight="1">
      <c r="A18" s="12" t="s">
        <v>110</v>
      </c>
      <c r="B18" s="13" t="s">
        <v>199</v>
      </c>
    </row>
    <row r="19" spans="1:2" ht="25" customHeight="1">
      <c r="A19" s="12" t="s">
        <v>111</v>
      </c>
      <c r="B19" s="16" t="s">
        <v>112</v>
      </c>
    </row>
    <row r="20" spans="1:2" ht="25" customHeight="1">
      <c r="A20" s="10" t="s">
        <v>113</v>
      </c>
      <c r="B20" s="16" t="s">
        <v>114</v>
      </c>
    </row>
    <row r="21" spans="1:2" ht="40" customHeight="1">
      <c r="A21" s="12" t="s">
        <v>115</v>
      </c>
      <c r="B21" s="16" t="s">
        <v>116</v>
      </c>
    </row>
    <row r="22" spans="1:2" ht="25" customHeight="1">
      <c r="A22" s="12" t="s">
        <v>31</v>
      </c>
      <c r="B22" s="17" t="s">
        <v>117</v>
      </c>
    </row>
    <row r="23" spans="1:2" ht="25" customHeight="1">
      <c r="A23" s="12" t="s">
        <v>118</v>
      </c>
      <c r="B23" s="16" t="s">
        <v>119</v>
      </c>
    </row>
    <row r="24" spans="1:2" ht="25" customHeight="1">
      <c r="A24" s="12" t="s">
        <v>120</v>
      </c>
      <c r="B24" s="13" t="s">
        <v>121</v>
      </c>
    </row>
    <row r="25" spans="1:2" ht="25" customHeight="1">
      <c r="A25" s="12" t="s">
        <v>148</v>
      </c>
      <c r="B25" s="13" t="s">
        <v>149</v>
      </c>
    </row>
    <row r="26" spans="1:2" ht="25" customHeight="1">
      <c r="A26" s="12" t="s">
        <v>122</v>
      </c>
      <c r="B26" s="13" t="s">
        <v>123</v>
      </c>
    </row>
    <row r="27" spans="1:2" ht="40" customHeight="1">
      <c r="A27" s="12" t="s">
        <v>307</v>
      </c>
      <c r="B27" s="13" t="s">
        <v>309</v>
      </c>
    </row>
    <row r="28" spans="1:2" ht="25" customHeight="1">
      <c r="A28" s="12" t="s">
        <v>124</v>
      </c>
      <c r="B28" s="13" t="s">
        <v>125</v>
      </c>
    </row>
    <row r="29" spans="1:2" ht="25" customHeight="1">
      <c r="A29" s="12" t="s">
        <v>126</v>
      </c>
      <c r="B29" s="13" t="s">
        <v>127</v>
      </c>
    </row>
    <row r="30" spans="1:2" ht="25" customHeight="1">
      <c r="A30" s="12" t="s">
        <v>128</v>
      </c>
      <c r="B30" s="13" t="s">
        <v>129</v>
      </c>
    </row>
    <row r="31" spans="1:2" ht="40" customHeight="1">
      <c r="A31" s="12" t="s">
        <v>130</v>
      </c>
      <c r="B31" s="16" t="s">
        <v>146</v>
      </c>
    </row>
    <row r="32" spans="1:2" ht="25" customHeight="1">
      <c r="A32" s="12" t="s">
        <v>131</v>
      </c>
      <c r="B32" s="13" t="s">
        <v>132</v>
      </c>
    </row>
    <row r="33" spans="1:2" ht="25" customHeight="1">
      <c r="A33" s="12" t="s">
        <v>133</v>
      </c>
      <c r="B33" s="13" t="s">
        <v>134</v>
      </c>
    </row>
    <row r="34" spans="1:2" ht="25" customHeight="1">
      <c r="A34" s="12" t="s">
        <v>135</v>
      </c>
      <c r="B34" s="16" t="s">
        <v>136</v>
      </c>
    </row>
    <row r="35" spans="1:2" ht="25" customHeight="1">
      <c r="A35" s="12" t="s">
        <v>5</v>
      </c>
      <c r="B35" s="13" t="s">
        <v>137</v>
      </c>
    </row>
    <row r="36" spans="1:2" ht="25" customHeight="1">
      <c r="A36" s="12" t="s">
        <v>318</v>
      </c>
      <c r="B36" s="13" t="s">
        <v>319</v>
      </c>
    </row>
    <row r="37" spans="1:2" ht="25" customHeight="1">
      <c r="A37" s="12" t="s">
        <v>4</v>
      </c>
      <c r="B37" s="13" t="s">
        <v>138</v>
      </c>
    </row>
    <row r="38" spans="1:2" ht="25" customHeight="1">
      <c r="A38" s="12" t="s">
        <v>139</v>
      </c>
      <c r="B38" s="13" t="s">
        <v>140</v>
      </c>
    </row>
    <row r="39" spans="1:2" ht="25" customHeight="1">
      <c r="A39" s="12" t="s">
        <v>30</v>
      </c>
      <c r="B39" s="13" t="s">
        <v>141</v>
      </c>
    </row>
    <row r="40" spans="1:2" ht="25" customHeight="1">
      <c r="A40" s="12" t="s">
        <v>142</v>
      </c>
      <c r="B40" s="16" t="s">
        <v>143</v>
      </c>
    </row>
    <row r="41" spans="1:2" ht="25" customHeight="1">
      <c r="A41" s="12" t="s">
        <v>144</v>
      </c>
      <c r="B41" s="13" t="s">
        <v>145</v>
      </c>
    </row>
    <row r="42" spans="1:2" ht="25" customHeight="1">
      <c r="A42" s="20"/>
      <c r="B42" s="13"/>
    </row>
  </sheetData>
  <sortState ref="A4:B41">
    <sortCondition ref="A41"/>
  </sortState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FA9F4-9809-412C-812A-5ED8778E106C}">
  <sheetPr codeName="List5"/>
  <dimension ref="A1:J61"/>
  <sheetViews>
    <sheetView showGridLines="0" view="pageBreakPreview" topLeftCell="A6" zoomScaleNormal="100" zoomScaleSheetLayoutView="100" workbookViewId="0">
      <selection activeCell="G1" sqref="G1"/>
    </sheetView>
  </sheetViews>
  <sheetFormatPr defaultColWidth="9.1796875" defaultRowHeight="14"/>
  <cols>
    <col min="1" max="1" width="14.7265625" style="22" customWidth="1"/>
    <col min="2" max="3" width="10.7265625" style="22" customWidth="1"/>
    <col min="4" max="4" width="31.54296875" style="22" customWidth="1"/>
    <col min="5" max="5" width="8" style="22" customWidth="1"/>
    <col min="6" max="6" width="7.26953125" style="22" customWidth="1"/>
    <col min="7" max="7" width="1.7265625" style="22" customWidth="1"/>
    <col min="8" max="8" width="9" style="22" customWidth="1"/>
    <col min="9" max="9" width="5.7265625" style="22" customWidth="1"/>
    <col min="10" max="10" width="9.1796875" style="22" customWidth="1"/>
    <col min="11" max="16384" width="9.1796875" style="22"/>
  </cols>
  <sheetData>
    <row r="1" spans="1:10" ht="20">
      <c r="A1" s="38" t="str">
        <f>"2 STRUČNÝ PŘEHLED ZA "&amp;UPPER('3.1'!G5)&amp;" "&amp;'3.1'!A4</f>
        <v>2 STRUČNÝ PŘEHLED ZA IV. ČTVRTLETÍ 2025</v>
      </c>
      <c r="C1" s="23"/>
      <c r="D1" s="23"/>
    </row>
    <row r="2" spans="1:10" ht="6" customHeight="1">
      <c r="A2" s="24"/>
      <c r="B2" s="24"/>
      <c r="C2" s="24"/>
      <c r="D2" s="24"/>
    </row>
    <row r="3" spans="1:10" ht="15" customHeight="1">
      <c r="A3" s="391" t="s">
        <v>203</v>
      </c>
      <c r="B3" s="391"/>
      <c r="C3" s="391"/>
      <c r="D3" s="391"/>
      <c r="E3" s="391"/>
      <c r="F3" s="391"/>
      <c r="G3" s="391"/>
      <c r="H3" s="391"/>
      <c r="I3" s="391"/>
    </row>
    <row r="4" spans="1:10" ht="15" customHeight="1">
      <c r="A4" s="391"/>
      <c r="B4" s="391"/>
      <c r="C4" s="391"/>
      <c r="D4" s="391"/>
      <c r="E4" s="391"/>
      <c r="F4" s="391"/>
      <c r="G4" s="391"/>
      <c r="H4" s="391"/>
      <c r="I4" s="391"/>
    </row>
    <row r="5" spans="1:10" ht="15" customHeight="1">
      <c r="A5" s="391"/>
      <c r="B5" s="391"/>
      <c r="C5" s="391"/>
      <c r="D5" s="391"/>
      <c r="E5" s="391"/>
      <c r="F5" s="391"/>
      <c r="G5" s="391"/>
      <c r="H5" s="391"/>
      <c r="I5" s="391"/>
    </row>
    <row r="6" spans="1:10" ht="15" customHeight="1">
      <c r="A6" s="391"/>
      <c r="B6" s="391"/>
      <c r="C6" s="391"/>
      <c r="D6" s="391"/>
      <c r="E6" s="391"/>
      <c r="F6" s="391"/>
      <c r="G6" s="391"/>
      <c r="H6" s="391"/>
      <c r="I6" s="391"/>
    </row>
    <row r="7" spans="1:10" ht="30" customHeight="1">
      <c r="A7" s="392" t="s">
        <v>237</v>
      </c>
      <c r="B7" s="392"/>
      <c r="C7" s="392"/>
      <c r="D7" s="392"/>
      <c r="E7" s="392"/>
      <c r="F7" s="392"/>
      <c r="G7" s="392"/>
      <c r="H7" s="392"/>
      <c r="I7" s="392"/>
      <c r="J7" s="25"/>
    </row>
    <row r="8" spans="1:10" ht="10" customHeight="1">
      <c r="A8" s="25"/>
      <c r="B8" s="25"/>
      <c r="C8" s="26"/>
      <c r="D8" s="26"/>
    </row>
    <row r="9" spans="1:10" ht="16" customHeight="1">
      <c r="A9" s="389" t="s">
        <v>204</v>
      </c>
      <c r="B9" s="389"/>
      <c r="C9" s="389"/>
      <c r="D9" s="389"/>
      <c r="E9" s="27">
        <f>'3.1'!G8/1000</f>
        <v>1979.2567783955458</v>
      </c>
      <c r="F9" s="19" t="s">
        <v>244</v>
      </c>
      <c r="G9" s="19" t="s">
        <v>205</v>
      </c>
      <c r="H9" s="27">
        <f>'3.1'!K8/1000</f>
        <v>21803.340171298998</v>
      </c>
      <c r="I9" s="19" t="s">
        <v>206</v>
      </c>
    </row>
    <row r="10" spans="1:10" ht="16" customHeight="1">
      <c r="A10" s="389" t="s">
        <v>207</v>
      </c>
      <c r="B10" s="389"/>
      <c r="C10" s="389"/>
      <c r="D10" s="389"/>
      <c r="E10" s="27">
        <f>'3.1'!G11/1000</f>
        <v>769.38586240861491</v>
      </c>
      <c r="F10" s="19" t="s">
        <v>244</v>
      </c>
      <c r="G10" s="19" t="s">
        <v>205</v>
      </c>
      <c r="H10" s="27">
        <f>'3.1'!K11/1000</f>
        <v>8462.5110545464013</v>
      </c>
      <c r="I10" s="19" t="s">
        <v>206</v>
      </c>
    </row>
    <row r="11" spans="1:10" ht="10" customHeight="1">
      <c r="A11" s="28"/>
      <c r="B11" s="28"/>
      <c r="C11" s="29"/>
      <c r="D11" s="29"/>
      <c r="E11" s="30"/>
    </row>
    <row r="12" spans="1:10" ht="16" customHeight="1">
      <c r="A12" s="389" t="s">
        <v>208</v>
      </c>
      <c r="B12" s="389"/>
      <c r="C12" s="389"/>
      <c r="D12" s="389"/>
      <c r="E12" s="27">
        <f>'3.1'!G19/1000</f>
        <v>1119.5918119999999</v>
      </c>
      <c r="F12" s="19" t="s">
        <v>244</v>
      </c>
      <c r="G12" s="19" t="s">
        <v>205</v>
      </c>
      <c r="H12" s="27">
        <f>'3.1'!K19/1000</f>
        <v>12297.080503000001</v>
      </c>
      <c r="I12" s="19" t="s">
        <v>206</v>
      </c>
    </row>
    <row r="13" spans="1:10" ht="16" customHeight="1">
      <c r="A13" s="389" t="s">
        <v>209</v>
      </c>
      <c r="B13" s="389"/>
      <c r="C13" s="389"/>
      <c r="D13" s="389"/>
      <c r="E13" s="27">
        <f>'3.1'!G24/1000</f>
        <v>20.515890999999996</v>
      </c>
      <c r="F13" s="19" t="s">
        <v>244</v>
      </c>
      <c r="G13" s="19" t="s">
        <v>205</v>
      </c>
      <c r="H13" s="27">
        <f>'3.1'!K24/1000</f>
        <v>226.3404056</v>
      </c>
      <c r="I13" s="19" t="s">
        <v>206</v>
      </c>
    </row>
    <row r="14" spans="1:10" ht="16" customHeight="1">
      <c r="A14" s="389" t="s">
        <v>210</v>
      </c>
      <c r="B14" s="389"/>
      <c r="C14" s="389"/>
      <c r="D14" s="389"/>
      <c r="E14" s="27">
        <f>'3.1'!G30/1000</f>
        <v>2262.9895516611341</v>
      </c>
      <c r="F14" s="19" t="s">
        <v>244</v>
      </c>
      <c r="G14" s="19" t="s">
        <v>205</v>
      </c>
      <c r="H14" s="27">
        <f>'3.1'!K30/1000</f>
        <v>24949.149220721945</v>
      </c>
      <c r="I14" s="19" t="s">
        <v>206</v>
      </c>
    </row>
    <row r="15" spans="1:10" ht="10" customHeight="1">
      <c r="A15" s="28"/>
      <c r="B15" s="28"/>
      <c r="C15" s="29"/>
      <c r="D15" s="29"/>
      <c r="E15" s="30"/>
    </row>
    <row r="16" spans="1:10" ht="16" customHeight="1">
      <c r="A16" s="389" t="s">
        <v>211</v>
      </c>
      <c r="B16" s="389"/>
      <c r="C16" s="389"/>
      <c r="D16" s="389"/>
      <c r="E16" s="27">
        <f>'3.1'!G39/1000</f>
        <v>32.129612000000002</v>
      </c>
      <c r="F16" s="19" t="s">
        <v>244</v>
      </c>
      <c r="G16" s="19" t="s">
        <v>205</v>
      </c>
      <c r="H16" s="27">
        <f>'3.1'!K39/1000</f>
        <v>346.71593300712897</v>
      </c>
      <c r="I16" s="19" t="s">
        <v>206</v>
      </c>
    </row>
    <row r="17" spans="1:9" ht="30" customHeight="1">
      <c r="A17" s="392" t="s">
        <v>238</v>
      </c>
      <c r="B17" s="392"/>
      <c r="C17" s="392"/>
      <c r="D17" s="392"/>
      <c r="E17" s="392"/>
      <c r="F17" s="392"/>
      <c r="G17" s="392"/>
      <c r="H17" s="392"/>
      <c r="I17" s="392"/>
    </row>
    <row r="18" spans="1:9" ht="10" customHeight="1">
      <c r="A18" s="25"/>
      <c r="B18" s="25"/>
      <c r="C18" s="26"/>
      <c r="D18" s="26"/>
    </row>
    <row r="19" spans="1:9" ht="16" customHeight="1">
      <c r="A19" s="389" t="s">
        <v>212</v>
      </c>
      <c r="B19" s="389"/>
      <c r="C19" s="389"/>
      <c r="D19" s="389"/>
      <c r="E19" s="27">
        <f>'4.1'!B22</f>
        <v>2350.0044284156402</v>
      </c>
      <c r="F19" s="19" t="s">
        <v>244</v>
      </c>
      <c r="G19" s="19" t="s">
        <v>205</v>
      </c>
      <c r="H19" s="27">
        <f>'4.1'!I22</f>
        <v>25872.513502032292</v>
      </c>
      <c r="I19" s="19" t="s">
        <v>206</v>
      </c>
    </row>
    <row r="20" spans="1:9" ht="16" customHeight="1">
      <c r="A20" s="389" t="s">
        <v>213</v>
      </c>
      <c r="B20" s="389"/>
      <c r="C20" s="389"/>
      <c r="D20" s="389"/>
      <c r="E20" s="31">
        <f>'4.1'!D22*100</f>
        <v>-0.83962237114663529</v>
      </c>
      <c r="F20" s="19" t="s">
        <v>214</v>
      </c>
      <c r="G20" s="19"/>
      <c r="H20" s="27"/>
      <c r="I20" s="19"/>
    </row>
    <row r="21" spans="1:9" ht="10" customHeight="1">
      <c r="A21" s="32"/>
      <c r="B21" s="32"/>
      <c r="C21" s="32"/>
      <c r="D21" s="32"/>
      <c r="E21" s="31"/>
      <c r="F21" s="19"/>
      <c r="G21" s="19"/>
      <c r="H21" s="27"/>
      <c r="I21" s="19"/>
    </row>
    <row r="22" spans="1:9" ht="16" customHeight="1">
      <c r="A22" s="389" t="s">
        <v>215</v>
      </c>
      <c r="B22" s="389"/>
      <c r="C22" s="389"/>
      <c r="D22" s="389"/>
      <c r="E22" s="27">
        <f>'4.1'!E22</f>
        <v>2339.7231463888634</v>
      </c>
      <c r="F22" s="19" t="s">
        <v>244</v>
      </c>
      <c r="G22" s="19" t="s">
        <v>205</v>
      </c>
      <c r="H22" s="27">
        <f>'4.1'!K22</f>
        <v>25757.584759907357</v>
      </c>
      <c r="I22" s="19" t="s">
        <v>206</v>
      </c>
    </row>
    <row r="23" spans="1:9" ht="16" customHeight="1">
      <c r="A23" s="389" t="s">
        <v>216</v>
      </c>
      <c r="B23" s="389"/>
      <c r="C23" s="389"/>
      <c r="D23" s="389"/>
      <c r="E23" s="31">
        <f>'4.1'!G22*100</f>
        <v>-3.8145541875775812</v>
      </c>
      <c r="F23" s="19" t="s">
        <v>214</v>
      </c>
    </row>
    <row r="24" spans="1:9" ht="10" customHeight="1">
      <c r="A24" s="32"/>
      <c r="B24" s="32"/>
      <c r="C24" s="32"/>
      <c r="D24" s="32"/>
      <c r="E24" s="31"/>
      <c r="F24" s="19"/>
      <c r="G24" s="19"/>
      <c r="H24" s="27"/>
      <c r="I24" s="19"/>
    </row>
    <row r="25" spans="1:9" ht="16" customHeight="1">
      <c r="A25" s="389" t="s">
        <v>217</v>
      </c>
      <c r="B25" s="389"/>
      <c r="C25" s="389"/>
      <c r="D25" s="389"/>
      <c r="E25" s="31">
        <f>'4.1'!N22</f>
        <v>4.0442652329749089</v>
      </c>
      <c r="F25" s="19" t="s">
        <v>218</v>
      </c>
      <c r="G25" s="19"/>
      <c r="H25" s="27"/>
      <c r="I25" s="19"/>
    </row>
    <row r="26" spans="1:9" ht="16" customHeight="1">
      <c r="A26" s="389" t="s">
        <v>219</v>
      </c>
      <c r="B26" s="389"/>
      <c r="C26" s="389"/>
      <c r="D26" s="389"/>
      <c r="E26" s="31">
        <f>'4.1'!Q22</f>
        <v>4.1711469534050183</v>
      </c>
      <c r="F26" s="19" t="s">
        <v>218</v>
      </c>
      <c r="G26" s="19"/>
      <c r="H26" s="27"/>
      <c r="I26" s="19"/>
    </row>
    <row r="27" spans="1:9" ht="16" customHeight="1">
      <c r="A27" s="389" t="s">
        <v>220</v>
      </c>
      <c r="B27" s="389"/>
      <c r="C27" s="389"/>
      <c r="D27" s="389"/>
      <c r="E27" s="31">
        <f>'4.1'!R22</f>
        <v>-0.12688172043010937</v>
      </c>
      <c r="F27" s="19" t="s">
        <v>218</v>
      </c>
      <c r="G27" s="19"/>
      <c r="H27" s="27"/>
      <c r="I27" s="19"/>
    </row>
    <row r="28" spans="1:9" ht="10" customHeight="1">
      <c r="A28" s="32"/>
      <c r="B28" s="32"/>
      <c r="C28" s="32"/>
      <c r="D28" s="32"/>
      <c r="E28" s="27"/>
      <c r="F28" s="19"/>
      <c r="G28" s="19"/>
      <c r="H28" s="27"/>
      <c r="I28" s="19"/>
    </row>
    <row r="29" spans="1:9" ht="16" customHeight="1">
      <c r="A29" s="389" t="s">
        <v>221</v>
      </c>
      <c r="B29" s="389"/>
      <c r="C29" s="389"/>
      <c r="D29" s="389"/>
      <c r="E29" s="33">
        <f>MAX('4.3'!B38,'4.3'!E38,'4.3'!H38)/1000</f>
        <v>36.526844211241468</v>
      </c>
      <c r="F29" s="19" t="s">
        <v>244</v>
      </c>
      <c r="G29" s="19" t="s">
        <v>205</v>
      </c>
      <c r="H29" s="33">
        <f>MAX('4.3'!C38,'4.3'!F38,'4.3'!I38)/1000</f>
        <v>401.1327673175436</v>
      </c>
      <c r="I29" s="19" t="s">
        <v>206</v>
      </c>
    </row>
    <row r="30" spans="1:9" ht="16" customHeight="1">
      <c r="A30" s="389" t="s">
        <v>222</v>
      </c>
      <c r="B30" s="389"/>
      <c r="C30" s="389"/>
      <c r="D30" s="389"/>
      <c r="E30" s="33">
        <f>MIN('4.3'!B39,'4.3'!E39,'4.3'!H39)/1000</f>
        <v>14.72724767502176</v>
      </c>
      <c r="F30" s="19" t="s">
        <v>244</v>
      </c>
      <c r="G30" s="19" t="s">
        <v>205</v>
      </c>
      <c r="H30" s="33">
        <f>MIN('4.3'!C39,'4.3'!F39,'4.3'!I39)/1000</f>
        <v>162.76597265403711</v>
      </c>
      <c r="I30" s="19" t="s">
        <v>206</v>
      </c>
    </row>
    <row r="31" spans="1:9" ht="30" customHeight="1">
      <c r="A31" s="388" t="s">
        <v>239</v>
      </c>
      <c r="B31" s="388"/>
      <c r="C31" s="388"/>
      <c r="D31" s="388"/>
      <c r="E31" s="388"/>
      <c r="F31" s="388"/>
      <c r="G31" s="388"/>
      <c r="H31" s="388"/>
      <c r="I31" s="388"/>
    </row>
    <row r="32" spans="1:9" ht="10" customHeight="1"/>
    <row r="33" spans="1:9" ht="16" customHeight="1">
      <c r="A33" s="389" t="s">
        <v>308</v>
      </c>
      <c r="B33" s="389"/>
      <c r="C33" s="389"/>
      <c r="D33" s="389"/>
      <c r="E33" s="33">
        <f>'5.9'!E7*100</f>
        <v>11.389745563565876</v>
      </c>
      <c r="F33" s="19" t="s">
        <v>214</v>
      </c>
      <c r="H33" s="33">
        <f>'5.9'!F7*100</f>
        <v>2.1214564205962452</v>
      </c>
      <c r="I33" s="19" t="s">
        <v>214</v>
      </c>
    </row>
    <row r="34" spans="1:9" ht="16" customHeight="1">
      <c r="A34" s="389" t="s">
        <v>223</v>
      </c>
      <c r="B34" s="389"/>
      <c r="C34" s="389"/>
      <c r="D34" s="389"/>
      <c r="E34" s="33">
        <f>'5.9'!E8*100</f>
        <v>82.764448777757522</v>
      </c>
      <c r="F34" s="19" t="s">
        <v>214</v>
      </c>
      <c r="H34" s="33">
        <f>'5.9'!F8*100</f>
        <v>3.139223840246113</v>
      </c>
      <c r="I34" s="19" t="s">
        <v>214</v>
      </c>
    </row>
    <row r="35" spans="1:9" ht="16" customHeight="1">
      <c r="A35" s="389" t="s">
        <v>317</v>
      </c>
      <c r="B35" s="389"/>
      <c r="C35" s="389"/>
      <c r="D35" s="389"/>
      <c r="E35" s="33">
        <f>'5.9'!E9*100</f>
        <v>4.0340568237104968</v>
      </c>
      <c r="F35" s="19" t="s">
        <v>214</v>
      </c>
      <c r="H35" s="33">
        <f>'5.9'!F9*100</f>
        <v>3.8643770005767379</v>
      </c>
      <c r="I35" s="19" t="s">
        <v>214</v>
      </c>
    </row>
    <row r="36" spans="1:9" ht="16" customHeight="1">
      <c r="A36" s="389" t="s">
        <v>224</v>
      </c>
      <c r="B36" s="389"/>
      <c r="C36" s="389"/>
      <c r="D36" s="389"/>
      <c r="E36" s="33">
        <f>'5.9'!E10*100</f>
        <v>1.8117487854567418</v>
      </c>
      <c r="F36" s="19" t="s">
        <v>214</v>
      </c>
      <c r="H36" s="33">
        <f>'5.9'!F10*100</f>
        <v>-67.439550826949827</v>
      </c>
      <c r="I36" s="19" t="s">
        <v>214</v>
      </c>
    </row>
    <row r="37" spans="1:9" ht="15" customHeight="1">
      <c r="A37" s="32"/>
      <c r="B37" s="32"/>
      <c r="C37" s="32"/>
      <c r="D37" s="32"/>
      <c r="E37" s="33"/>
      <c r="F37" s="19"/>
      <c r="H37" s="33"/>
      <c r="I37" s="19"/>
    </row>
    <row r="38" spans="1:9" ht="16" customHeight="1">
      <c r="A38" s="389" t="s">
        <v>225</v>
      </c>
      <c r="B38" s="389"/>
      <c r="C38" s="389"/>
      <c r="D38" s="389"/>
      <c r="E38" s="387">
        <f>'5.1'!D35</f>
        <v>2702400</v>
      </c>
      <c r="F38" s="387"/>
      <c r="H38" s="33"/>
      <c r="I38" s="19"/>
    </row>
    <row r="39" spans="1:9" ht="30" customHeight="1">
      <c r="A39" s="390"/>
      <c r="B39" s="390"/>
      <c r="C39" s="390"/>
      <c r="D39" s="390"/>
      <c r="E39" s="390"/>
      <c r="F39" s="390"/>
      <c r="G39" s="390"/>
      <c r="H39" s="390"/>
      <c r="I39" s="390"/>
    </row>
    <row r="40" spans="1:9" ht="16" customHeight="1">
      <c r="A40" s="25"/>
      <c r="B40" s="25"/>
    </row>
    <row r="41" spans="1:9" ht="16" customHeight="1">
      <c r="A41" s="386"/>
      <c r="B41" s="386"/>
      <c r="C41" s="386"/>
      <c r="D41" s="386"/>
      <c r="E41" s="386"/>
      <c r="F41" s="386"/>
      <c r="G41" s="386"/>
      <c r="H41" s="386"/>
      <c r="I41" s="386"/>
    </row>
    <row r="42" spans="1:9" ht="16" customHeight="1">
      <c r="A42" s="386"/>
      <c r="B42" s="386"/>
      <c r="C42" s="386"/>
      <c r="D42" s="386"/>
      <c r="E42" s="386"/>
      <c r="F42" s="386"/>
      <c r="G42" s="386"/>
      <c r="H42" s="386"/>
      <c r="I42" s="386"/>
    </row>
    <row r="43" spans="1:9" ht="16" customHeight="1">
      <c r="A43" s="386"/>
      <c r="B43" s="386"/>
      <c r="C43" s="386"/>
      <c r="D43" s="386"/>
      <c r="E43" s="386"/>
      <c r="F43" s="386"/>
      <c r="G43" s="386"/>
      <c r="H43" s="386"/>
      <c r="I43" s="386"/>
    </row>
    <row r="44" spans="1:9" ht="16" customHeight="1">
      <c r="A44" s="386"/>
      <c r="B44" s="386"/>
      <c r="C44" s="386"/>
      <c r="D44" s="386"/>
      <c r="E44" s="386"/>
      <c r="F44" s="386"/>
      <c r="G44" s="386"/>
      <c r="H44" s="386"/>
      <c r="I44" s="386"/>
    </row>
    <row r="45" spans="1:9" ht="16" customHeight="1">
      <c r="A45" s="386"/>
      <c r="B45" s="386"/>
      <c r="C45" s="386"/>
      <c r="D45" s="386"/>
      <c r="E45" s="386"/>
      <c r="F45" s="386"/>
      <c r="G45" s="386"/>
      <c r="H45" s="386"/>
      <c r="I45" s="386"/>
    </row>
    <row r="46" spans="1:9" ht="16" customHeight="1">
      <c r="A46" s="386"/>
      <c r="B46" s="386"/>
      <c r="C46" s="386"/>
      <c r="D46" s="386"/>
      <c r="E46" s="386"/>
      <c r="F46" s="386"/>
      <c r="G46" s="386"/>
      <c r="H46" s="386"/>
      <c r="I46" s="386"/>
    </row>
    <row r="47" spans="1:9" ht="16" customHeight="1">
      <c r="A47" s="386"/>
      <c r="B47" s="386"/>
      <c r="C47" s="386"/>
      <c r="D47" s="386"/>
      <c r="E47" s="386"/>
      <c r="F47" s="386"/>
      <c r="G47" s="386"/>
      <c r="H47" s="386"/>
      <c r="I47" s="386"/>
    </row>
    <row r="48" spans="1:9" ht="15" customHeight="1">
      <c r="A48" s="386"/>
      <c r="B48" s="386"/>
      <c r="C48" s="386"/>
      <c r="D48" s="386"/>
      <c r="E48" s="386"/>
      <c r="F48" s="386"/>
      <c r="G48" s="386"/>
      <c r="H48" s="386"/>
      <c r="I48" s="386"/>
    </row>
    <row r="49" spans="1:9" ht="15" customHeight="1">
      <c r="A49" s="386"/>
      <c r="B49" s="386"/>
      <c r="C49" s="386"/>
      <c r="D49" s="386"/>
      <c r="E49" s="386"/>
      <c r="F49" s="386"/>
      <c r="G49" s="386"/>
      <c r="H49" s="386"/>
      <c r="I49" s="386"/>
    </row>
    <row r="50" spans="1:9" ht="15" customHeight="1">
      <c r="A50" s="25"/>
      <c r="B50" s="25"/>
      <c r="C50" s="25"/>
      <c r="D50" s="25"/>
      <c r="E50" s="25"/>
      <c r="F50" s="25"/>
      <c r="G50" s="25"/>
      <c r="H50" s="25"/>
      <c r="I50" s="25"/>
    </row>
    <row r="51" spans="1:9" ht="16" customHeight="1">
      <c r="A51" s="25"/>
      <c r="B51" s="25"/>
      <c r="C51" s="25"/>
      <c r="D51" s="25"/>
      <c r="E51" s="25"/>
      <c r="F51" s="25"/>
      <c r="G51" s="25"/>
      <c r="H51" s="25"/>
      <c r="I51" s="25"/>
    </row>
    <row r="52" spans="1:9" ht="16" customHeight="1">
      <c r="A52" s="25"/>
      <c r="B52" s="25"/>
    </row>
    <row r="53" spans="1:9" ht="16" customHeight="1">
      <c r="A53" s="25"/>
      <c r="B53" s="25"/>
    </row>
    <row r="54" spans="1:9" ht="16" customHeight="1">
      <c r="A54" s="25"/>
      <c r="B54" s="25"/>
    </row>
    <row r="55" spans="1:9" ht="15" customHeight="1">
      <c r="A55" s="25"/>
      <c r="B55" s="25"/>
    </row>
    <row r="56" spans="1:9" ht="15" customHeight="1">
      <c r="A56" s="25"/>
      <c r="B56" s="25"/>
    </row>
    <row r="57" spans="1:9" ht="15" customHeight="1">
      <c r="A57" s="25"/>
      <c r="B57" s="25"/>
    </row>
    <row r="58" spans="1:9" ht="15" customHeight="1">
      <c r="A58" s="25"/>
      <c r="B58" s="25"/>
    </row>
    <row r="59" spans="1:9" ht="15" customHeight="1">
      <c r="A59" s="25"/>
      <c r="B59" s="25"/>
    </row>
    <row r="60" spans="1:9" ht="11.5" customHeight="1">
      <c r="A60" s="25"/>
      <c r="B60" s="25"/>
    </row>
    <row r="61" spans="1:9" ht="10.9" customHeight="1"/>
  </sheetData>
  <mergeCells count="27">
    <mergeCell ref="A22:D22"/>
    <mergeCell ref="A23:D23"/>
    <mergeCell ref="A14:D14"/>
    <mergeCell ref="A16:D16"/>
    <mergeCell ref="A17:I17"/>
    <mergeCell ref="A19:D19"/>
    <mergeCell ref="A20:D20"/>
    <mergeCell ref="A13:D13"/>
    <mergeCell ref="A3:I6"/>
    <mergeCell ref="A7:I7"/>
    <mergeCell ref="A9:D9"/>
    <mergeCell ref="A10:D10"/>
    <mergeCell ref="A12:D12"/>
    <mergeCell ref="A25:D25"/>
    <mergeCell ref="A26:D26"/>
    <mergeCell ref="A27:D27"/>
    <mergeCell ref="A29:D29"/>
    <mergeCell ref="A38:D38"/>
    <mergeCell ref="A30:D30"/>
    <mergeCell ref="A41:I49"/>
    <mergeCell ref="E38:F38"/>
    <mergeCell ref="A31:I31"/>
    <mergeCell ref="A33:D33"/>
    <mergeCell ref="A34:D34"/>
    <mergeCell ref="A35:D35"/>
    <mergeCell ref="A36:D36"/>
    <mergeCell ref="A39:I39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8"/>
  <dimension ref="A1:R59"/>
  <sheetViews>
    <sheetView showGridLines="0" zoomScaleNormal="100" zoomScaleSheetLayoutView="100" workbookViewId="0">
      <selection activeCell="G1" sqref="G1"/>
    </sheetView>
  </sheetViews>
  <sheetFormatPr defaultColWidth="9.1796875" defaultRowHeight="10"/>
  <cols>
    <col min="1" max="1" width="6.81640625" style="34" customWidth="1"/>
    <col min="2" max="2" width="8.453125" style="34" customWidth="1"/>
    <col min="3" max="3" width="13.1796875" style="34" customWidth="1"/>
    <col min="4" max="6" width="8.26953125" style="34" customWidth="1"/>
    <col min="7" max="7" width="9.7265625" style="34" customWidth="1"/>
    <col min="8" max="10" width="8.7265625" style="34" customWidth="1"/>
    <col min="11" max="11" width="9.7265625" style="34" customWidth="1"/>
    <col min="12" max="16384" width="9.1796875" style="34"/>
  </cols>
  <sheetData>
    <row r="1" spans="1:18" ht="20">
      <c r="A1" s="47" t="s">
        <v>273</v>
      </c>
    </row>
    <row r="2" spans="1:18" ht="18">
      <c r="A2" s="402" t="s">
        <v>278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</row>
    <row r="3" spans="1:18" ht="6" customHeight="1">
      <c r="A3" s="211"/>
      <c r="B3" s="211"/>
      <c r="C3" s="211"/>
      <c r="D3" s="403"/>
      <c r="E3" s="404"/>
      <c r="F3" s="404"/>
      <c r="G3" s="404"/>
      <c r="H3" s="404"/>
      <c r="I3" s="404"/>
      <c r="J3" s="404"/>
      <c r="K3" s="404"/>
    </row>
    <row r="4" spans="1:18" ht="20.149999999999999" customHeight="1">
      <c r="A4" s="274">
        <v>2025</v>
      </c>
      <c r="B4" s="133"/>
      <c r="C4" s="181"/>
      <c r="D4" s="405" t="s">
        <v>247</v>
      </c>
      <c r="E4" s="406"/>
      <c r="F4" s="406"/>
      <c r="G4" s="407"/>
      <c r="H4" s="405" t="s">
        <v>248</v>
      </c>
      <c r="I4" s="406"/>
      <c r="J4" s="406"/>
      <c r="K4" s="406"/>
    </row>
    <row r="5" spans="1:18" ht="20.149999999999999" customHeight="1">
      <c r="A5" s="136"/>
      <c r="B5" s="136"/>
      <c r="C5" s="182"/>
      <c r="D5" s="183" t="s">
        <v>166</v>
      </c>
      <c r="E5" s="184" t="s">
        <v>167</v>
      </c>
      <c r="F5" s="184" t="s">
        <v>168</v>
      </c>
      <c r="G5" s="185" t="s">
        <v>56</v>
      </c>
      <c r="H5" s="183" t="str">
        <f>D5</f>
        <v>Říjen</v>
      </c>
      <c r="I5" s="184" t="str">
        <f>E5</f>
        <v>Listopad</v>
      </c>
      <c r="J5" s="184" t="str">
        <f>F5</f>
        <v>Prosinec</v>
      </c>
      <c r="K5" s="186" t="str">
        <f>G5</f>
        <v>IV. čtvrtletí</v>
      </c>
    </row>
    <row r="6" spans="1:18" ht="15" customHeight="1">
      <c r="A6" s="395" t="s">
        <v>48</v>
      </c>
      <c r="B6" s="408" t="s">
        <v>20</v>
      </c>
      <c r="C6" s="137" t="s">
        <v>22</v>
      </c>
      <c r="D6" s="138">
        <v>652378.32799999998</v>
      </c>
      <c r="E6" s="139">
        <v>641070.39399999997</v>
      </c>
      <c r="F6" s="139">
        <v>685348.93599999999</v>
      </c>
      <c r="G6" s="140">
        <f>SUM(D6:F6)</f>
        <v>1978797.6580000001</v>
      </c>
      <c r="H6" s="138">
        <v>7203431.4049999993</v>
      </c>
      <c r="I6" s="139">
        <v>7084173.5240000002</v>
      </c>
      <c r="J6" s="139">
        <v>7510682.0630000001</v>
      </c>
      <c r="K6" s="141">
        <f>SUM(H6:J6)</f>
        <v>21798286.991999999</v>
      </c>
      <c r="L6" s="36"/>
      <c r="M6" s="36"/>
      <c r="N6" s="36"/>
      <c r="O6" s="36"/>
      <c r="P6" s="36"/>
      <c r="Q6" s="36"/>
      <c r="R6" s="36"/>
    </row>
    <row r="7" spans="1:18" ht="15" customHeight="1">
      <c r="A7" s="395"/>
      <c r="B7" s="408"/>
      <c r="C7" s="137" t="s">
        <v>23</v>
      </c>
      <c r="D7" s="138">
        <v>121.507851992</v>
      </c>
      <c r="E7" s="139">
        <v>153.64363019499999</v>
      </c>
      <c r="F7" s="139">
        <v>183.968913359</v>
      </c>
      <c r="G7" s="140">
        <f>SUM(D7:F7)</f>
        <v>459.120395546</v>
      </c>
      <c r="H7" s="138">
        <v>1342.3205929999999</v>
      </c>
      <c r="I7" s="139">
        <v>1689.777994</v>
      </c>
      <c r="J7" s="139">
        <v>2021.0807119999999</v>
      </c>
      <c r="K7" s="141">
        <f t="shared" ref="K7:K50" si="0">SUM(H7:J7)</f>
        <v>5053.1792989999994</v>
      </c>
      <c r="L7" s="36"/>
      <c r="M7" s="36"/>
      <c r="N7" s="36"/>
      <c r="O7" s="36"/>
      <c r="P7" s="36"/>
      <c r="Q7" s="36"/>
    </row>
    <row r="8" spans="1:18" ht="15" customHeight="1">
      <c r="A8" s="395"/>
      <c r="B8" s="409"/>
      <c r="C8" s="142" t="s">
        <v>24</v>
      </c>
      <c r="D8" s="143">
        <v>652499.83585199201</v>
      </c>
      <c r="E8" s="144">
        <v>641224.03763019491</v>
      </c>
      <c r="F8" s="144">
        <v>685532.90491335897</v>
      </c>
      <c r="G8" s="145">
        <f t="shared" ref="G8" si="1">SUM(D8:F8)</f>
        <v>1979256.7783955457</v>
      </c>
      <c r="H8" s="143">
        <v>7204773.7255929997</v>
      </c>
      <c r="I8" s="144">
        <v>7085863.3019940006</v>
      </c>
      <c r="J8" s="144">
        <v>7512703.143712</v>
      </c>
      <c r="K8" s="146">
        <f t="shared" si="0"/>
        <v>21803340.171298999</v>
      </c>
      <c r="L8" s="36"/>
      <c r="M8" s="36"/>
      <c r="N8" s="36"/>
      <c r="O8" s="36"/>
      <c r="P8" s="36"/>
      <c r="Q8" s="36"/>
    </row>
    <row r="9" spans="1:18" ht="15" customHeight="1">
      <c r="A9" s="395"/>
      <c r="B9" s="410" t="s">
        <v>21</v>
      </c>
      <c r="C9" s="147" t="s">
        <v>22</v>
      </c>
      <c r="D9" s="148">
        <v>164603.25200000001</v>
      </c>
      <c r="E9" s="149">
        <v>171309.02499999999</v>
      </c>
      <c r="F9" s="149">
        <v>433358.09399999998</v>
      </c>
      <c r="G9" s="150">
        <f>SUM(D9:F9)</f>
        <v>769270.37100000004</v>
      </c>
      <c r="H9" s="148">
        <v>1821017.0870000001</v>
      </c>
      <c r="I9" s="149">
        <v>1888058.0350000001</v>
      </c>
      <c r="J9" s="149">
        <v>4752164.9760000007</v>
      </c>
      <c r="K9" s="151">
        <f t="shared" si="0"/>
        <v>8461240.0980000012</v>
      </c>
      <c r="L9" s="36"/>
      <c r="M9" s="36"/>
      <c r="N9" s="36"/>
      <c r="O9" s="36"/>
      <c r="P9" s="36"/>
      <c r="Q9" s="36"/>
    </row>
    <row r="10" spans="1:18" ht="15" customHeight="1">
      <c r="A10" s="395"/>
      <c r="B10" s="408"/>
      <c r="C10" s="137" t="s">
        <v>23</v>
      </c>
      <c r="D10" s="138">
        <v>27.679801453</v>
      </c>
      <c r="E10" s="139">
        <v>38.386170280000002</v>
      </c>
      <c r="F10" s="139">
        <v>49.425436882</v>
      </c>
      <c r="G10" s="140">
        <f>SUM(D10:F10)</f>
        <v>115.491408615</v>
      </c>
      <c r="H10" s="138">
        <v>305.8304316</v>
      </c>
      <c r="I10" s="139">
        <v>422.57196379999999</v>
      </c>
      <c r="J10" s="139">
        <v>542.55415100000005</v>
      </c>
      <c r="K10" s="141">
        <f t="shared" si="0"/>
        <v>1270.9565464</v>
      </c>
      <c r="L10" s="36"/>
      <c r="M10" s="36"/>
      <c r="N10" s="36"/>
      <c r="O10" s="36"/>
      <c r="P10" s="36"/>
      <c r="Q10" s="36"/>
    </row>
    <row r="11" spans="1:18" ht="15" customHeight="1">
      <c r="A11" s="395"/>
      <c r="B11" s="409"/>
      <c r="C11" s="142" t="s">
        <v>24</v>
      </c>
      <c r="D11" s="143">
        <v>164630.931801453</v>
      </c>
      <c r="E11" s="144">
        <v>171347.41117027999</v>
      </c>
      <c r="F11" s="144">
        <v>433407.51943688199</v>
      </c>
      <c r="G11" s="145">
        <f t="shared" ref="G11" si="2">SUM(D11:F11)</f>
        <v>769385.86240861495</v>
      </c>
      <c r="H11" s="143">
        <v>1821322.9174316002</v>
      </c>
      <c r="I11" s="144">
        <v>1888480.6069638</v>
      </c>
      <c r="J11" s="144">
        <v>4752707.5301510012</v>
      </c>
      <c r="K11" s="146">
        <f t="shared" si="0"/>
        <v>8462511.0545464009</v>
      </c>
      <c r="L11" s="36"/>
      <c r="M11" s="36"/>
      <c r="N11" s="36"/>
      <c r="O11" s="36"/>
      <c r="P11" s="36"/>
      <c r="Q11" s="36"/>
    </row>
    <row r="12" spans="1:18" ht="15" customHeight="1">
      <c r="A12" s="395"/>
      <c r="B12" s="398" t="s">
        <v>50</v>
      </c>
      <c r="C12" s="137" t="s">
        <v>22</v>
      </c>
      <c r="D12" s="138">
        <v>487775.076</v>
      </c>
      <c r="E12" s="139">
        <v>469761.36899999995</v>
      </c>
      <c r="F12" s="139">
        <v>251990.842</v>
      </c>
      <c r="G12" s="140">
        <f>SUM(D12:F12)</f>
        <v>1209527.287</v>
      </c>
      <c r="H12" s="138">
        <v>5382414.317999999</v>
      </c>
      <c r="I12" s="139">
        <v>5196115.4890000001</v>
      </c>
      <c r="J12" s="139">
        <v>2758517.0869999994</v>
      </c>
      <c r="K12" s="141">
        <f t="shared" si="0"/>
        <v>13337046.893999999</v>
      </c>
      <c r="L12" s="36"/>
      <c r="M12" s="36"/>
      <c r="N12" s="36"/>
      <c r="O12" s="36"/>
      <c r="P12" s="36"/>
      <c r="Q12" s="36"/>
    </row>
    <row r="13" spans="1:18" ht="15" customHeight="1">
      <c r="A13" s="395"/>
      <c r="B13" s="408"/>
      <c r="C13" s="137" t="s">
        <v>23</v>
      </c>
      <c r="D13" s="138">
        <v>93.828050539000003</v>
      </c>
      <c r="E13" s="139">
        <v>115.25745991499998</v>
      </c>
      <c r="F13" s="139">
        <v>134.54347647700001</v>
      </c>
      <c r="G13" s="140">
        <f>SUM(D13:F13)</f>
        <v>343.62898693099999</v>
      </c>
      <c r="H13" s="138">
        <v>1036.4901614</v>
      </c>
      <c r="I13" s="139">
        <v>1267.2060302</v>
      </c>
      <c r="J13" s="139">
        <v>1478.5265609999999</v>
      </c>
      <c r="K13" s="141">
        <f t="shared" si="0"/>
        <v>3782.2227525999997</v>
      </c>
      <c r="L13" s="36"/>
      <c r="M13" s="36"/>
      <c r="N13" s="36"/>
      <c r="O13" s="36"/>
      <c r="P13" s="36"/>
      <c r="Q13" s="36"/>
    </row>
    <row r="14" spans="1:18" ht="15" customHeight="1">
      <c r="A14" s="396"/>
      <c r="B14" s="409"/>
      <c r="C14" s="142" t="s">
        <v>24</v>
      </c>
      <c r="D14" s="143">
        <v>487868.90405053901</v>
      </c>
      <c r="E14" s="144">
        <v>469876.62645991496</v>
      </c>
      <c r="F14" s="144">
        <v>252125.38547647701</v>
      </c>
      <c r="G14" s="145">
        <f t="shared" ref="G14:G54" si="3">SUM(D14:F14)</f>
        <v>1209870.915986931</v>
      </c>
      <c r="H14" s="143">
        <v>5383450.8081613993</v>
      </c>
      <c r="I14" s="144">
        <v>5197382.6950302003</v>
      </c>
      <c r="J14" s="144">
        <v>2759995.6135609993</v>
      </c>
      <c r="K14" s="146">
        <f t="shared" si="0"/>
        <v>13340829.116752598</v>
      </c>
      <c r="L14" s="36"/>
      <c r="M14" s="36"/>
      <c r="N14" s="36"/>
      <c r="O14" s="36"/>
      <c r="P14" s="36"/>
      <c r="Q14" s="36"/>
    </row>
    <row r="15" spans="1:18" ht="14.15" customHeight="1">
      <c r="A15" s="394" t="s">
        <v>147</v>
      </c>
      <c r="B15" s="410" t="s">
        <v>25</v>
      </c>
      <c r="C15" s="147" t="s">
        <v>301</v>
      </c>
      <c r="D15" s="148">
        <v>87149.997000000003</v>
      </c>
      <c r="E15" s="149">
        <v>227341.587</v>
      </c>
      <c r="F15" s="149">
        <v>499161.03200000001</v>
      </c>
      <c r="G15" s="150">
        <f t="shared" si="3"/>
        <v>813652.61600000004</v>
      </c>
      <c r="H15" s="148">
        <v>959497.50699999998</v>
      </c>
      <c r="I15" s="149">
        <v>2499665.2829999998</v>
      </c>
      <c r="J15" s="149">
        <v>5480643.7290000003</v>
      </c>
      <c r="K15" s="151">
        <f t="shared" si="0"/>
        <v>8939806.5190000013</v>
      </c>
      <c r="L15" s="36"/>
      <c r="M15" s="36"/>
      <c r="N15" s="36"/>
      <c r="O15" s="36"/>
      <c r="P15" s="36"/>
      <c r="Q15" s="36"/>
    </row>
    <row r="16" spans="1:18" ht="14.15" customHeight="1">
      <c r="A16" s="395"/>
      <c r="B16" s="408"/>
      <c r="C16" s="137" t="s">
        <v>201</v>
      </c>
      <c r="D16" s="138">
        <v>26930.091000000004</v>
      </c>
      <c r="E16" s="139">
        <v>15335.507000000001</v>
      </c>
      <c r="F16" s="139">
        <v>78221.364000000001</v>
      </c>
      <c r="G16" s="140">
        <f>SUM(D16:F16)</f>
        <v>120486.962</v>
      </c>
      <c r="H16" s="138">
        <v>295819.94389</v>
      </c>
      <c r="I16" s="139">
        <v>168850.07821600002</v>
      </c>
      <c r="J16" s="139">
        <v>857524.57405399997</v>
      </c>
      <c r="K16" s="141">
        <f t="shared" si="0"/>
        <v>1322194.59616</v>
      </c>
      <c r="L16" s="36"/>
      <c r="M16" s="36"/>
      <c r="N16" s="36"/>
      <c r="O16" s="36"/>
      <c r="P16" s="36"/>
      <c r="Q16" s="36"/>
    </row>
    <row r="17" spans="1:17" ht="14.15" customHeight="1">
      <c r="A17" s="395"/>
      <c r="B17" s="408"/>
      <c r="C17" s="137" t="s">
        <v>303</v>
      </c>
      <c r="D17" s="138">
        <v>11423.536999999993</v>
      </c>
      <c r="E17" s="139">
        <v>62654.930999999997</v>
      </c>
      <c r="F17" s="139">
        <v>89937.858000000007</v>
      </c>
      <c r="G17" s="140">
        <f>SUM(D17:F17)</f>
        <v>164016.326</v>
      </c>
      <c r="H17" s="138">
        <v>126306.07410999999</v>
      </c>
      <c r="I17" s="139">
        <v>688359.92678400001</v>
      </c>
      <c r="J17" s="139">
        <v>986071.79294600012</v>
      </c>
      <c r="K17" s="141">
        <f t="shared" si="0"/>
        <v>1800737.7938400002</v>
      </c>
      <c r="L17" s="36"/>
      <c r="M17" s="36"/>
      <c r="N17" s="36"/>
      <c r="O17" s="36"/>
      <c r="P17" s="36"/>
      <c r="Q17" s="36"/>
    </row>
    <row r="18" spans="1:17" ht="14.15" customHeight="1">
      <c r="A18" s="395"/>
      <c r="B18" s="408"/>
      <c r="C18" s="137" t="s">
        <v>318</v>
      </c>
      <c r="D18" s="138">
        <v>0</v>
      </c>
      <c r="E18" s="139">
        <v>20493.557000000001</v>
      </c>
      <c r="F18" s="139">
        <v>942.351</v>
      </c>
      <c r="G18" s="140">
        <f>SUM(D18:F18)</f>
        <v>21435.907999999999</v>
      </c>
      <c r="H18" s="138">
        <v>0</v>
      </c>
      <c r="I18" s="139">
        <v>224030.35399999999</v>
      </c>
      <c r="J18" s="139">
        <v>10311.24</v>
      </c>
      <c r="K18" s="141">
        <f t="shared" si="0"/>
        <v>234341.59399999998</v>
      </c>
      <c r="L18" s="36"/>
      <c r="M18" s="36"/>
      <c r="N18" s="36"/>
      <c r="O18" s="36"/>
      <c r="P18" s="36"/>
      <c r="Q18" s="36"/>
    </row>
    <row r="19" spans="1:17" ht="14.15" customHeight="1">
      <c r="A19" s="395"/>
      <c r="B19" s="409"/>
      <c r="C19" s="142" t="s">
        <v>24</v>
      </c>
      <c r="D19" s="143">
        <v>125503.625</v>
      </c>
      <c r="E19" s="144">
        <v>325825.58200000005</v>
      </c>
      <c r="F19" s="144">
        <v>668262.60499999998</v>
      </c>
      <c r="G19" s="145">
        <f>SUM(D19:F19)</f>
        <v>1119591.8119999999</v>
      </c>
      <c r="H19" s="143">
        <v>1381623.5249999999</v>
      </c>
      <c r="I19" s="144">
        <v>3580905.6419999995</v>
      </c>
      <c r="J19" s="144">
        <v>7334551.3360000011</v>
      </c>
      <c r="K19" s="146">
        <f>SUM(H19:J19)</f>
        <v>12297080.503</v>
      </c>
      <c r="L19" s="36"/>
      <c r="M19" s="36"/>
      <c r="N19" s="36"/>
      <c r="O19" s="36"/>
      <c r="P19" s="36"/>
      <c r="Q19" s="36"/>
    </row>
    <row r="20" spans="1:17" ht="14.15" customHeight="1">
      <c r="A20" s="395"/>
      <c r="B20" s="410" t="s">
        <v>26</v>
      </c>
      <c r="C20" s="147" t="s">
        <v>301</v>
      </c>
      <c r="D20" s="148">
        <v>7383.1970000000001</v>
      </c>
      <c r="E20" s="149">
        <v>154.98500000000001</v>
      </c>
      <c r="F20" s="149">
        <v>0</v>
      </c>
      <c r="G20" s="150">
        <f t="shared" si="3"/>
        <v>7538.1819999999998</v>
      </c>
      <c r="H20" s="148">
        <v>81601.364126</v>
      </c>
      <c r="I20" s="149">
        <v>1708.8964779999999</v>
      </c>
      <c r="J20" s="149">
        <v>0</v>
      </c>
      <c r="K20" s="151">
        <f t="shared" si="0"/>
        <v>83310.260603999996</v>
      </c>
      <c r="L20" s="36"/>
      <c r="M20" s="36"/>
      <c r="N20" s="36"/>
      <c r="O20" s="36"/>
      <c r="P20" s="36"/>
      <c r="Q20" s="36"/>
    </row>
    <row r="21" spans="1:17" ht="14.15" customHeight="1">
      <c r="A21" s="395"/>
      <c r="B21" s="408"/>
      <c r="C21" s="137" t="s">
        <v>201</v>
      </c>
      <c r="D21" s="138">
        <v>6406.3559999999998</v>
      </c>
      <c r="E21" s="139">
        <v>190.84899999999999</v>
      </c>
      <c r="F21" s="139">
        <v>344.35199999999998</v>
      </c>
      <c r="G21" s="140">
        <f t="shared" si="3"/>
        <v>6941.5569999999998</v>
      </c>
      <c r="H21" s="138">
        <v>70990.470942</v>
      </c>
      <c r="I21" s="139">
        <v>2091.7487069999997</v>
      </c>
      <c r="J21" s="139">
        <v>3788.0739960000001</v>
      </c>
      <c r="K21" s="141">
        <f t="shared" si="0"/>
        <v>76870.293645000012</v>
      </c>
      <c r="L21" s="36"/>
      <c r="M21" s="36"/>
      <c r="N21" s="36"/>
      <c r="O21" s="36"/>
      <c r="P21" s="36"/>
      <c r="Q21" s="36"/>
    </row>
    <row r="22" spans="1:17" ht="14.15" customHeight="1">
      <c r="A22" s="395"/>
      <c r="B22" s="408"/>
      <c r="C22" s="137" t="s">
        <v>303</v>
      </c>
      <c r="D22" s="138">
        <v>160.05100000000039</v>
      </c>
      <c r="E22" s="139">
        <v>5876.1009999999997</v>
      </c>
      <c r="F22" s="139">
        <v>0</v>
      </c>
      <c r="G22" s="140">
        <f t="shared" si="3"/>
        <v>6036.152</v>
      </c>
      <c r="H22" s="138">
        <v>1765.1030579999933</v>
      </c>
      <c r="I22" s="139">
        <v>64394.748293000004</v>
      </c>
      <c r="J22" s="139">
        <v>0</v>
      </c>
      <c r="K22" s="141">
        <f t="shared" si="0"/>
        <v>66159.85135099999</v>
      </c>
      <c r="L22" s="36"/>
      <c r="M22" s="36"/>
      <c r="N22" s="36"/>
      <c r="O22" s="36"/>
      <c r="P22" s="36"/>
      <c r="Q22" s="36"/>
    </row>
    <row r="23" spans="1:17" ht="14.15" customHeight="1">
      <c r="A23" s="395"/>
      <c r="B23" s="408"/>
      <c r="C23" s="137" t="s">
        <v>318</v>
      </c>
      <c r="D23" s="138">
        <v>0</v>
      </c>
      <c r="E23" s="139">
        <v>0</v>
      </c>
      <c r="F23" s="139">
        <v>0</v>
      </c>
      <c r="G23" s="140">
        <f t="shared" si="3"/>
        <v>0</v>
      </c>
      <c r="H23" s="138">
        <v>0</v>
      </c>
      <c r="I23" s="139">
        <v>0</v>
      </c>
      <c r="J23" s="139">
        <v>0</v>
      </c>
      <c r="K23" s="141">
        <f t="shared" si="0"/>
        <v>0</v>
      </c>
      <c r="L23" s="36"/>
      <c r="M23" s="36"/>
      <c r="N23" s="36"/>
      <c r="O23" s="36"/>
      <c r="P23" s="36"/>
      <c r="Q23" s="36"/>
    </row>
    <row r="24" spans="1:17" ht="14.15" customHeight="1">
      <c r="A24" s="395"/>
      <c r="B24" s="409"/>
      <c r="C24" s="142" t="s">
        <v>24</v>
      </c>
      <c r="D24" s="143">
        <v>13949.603999999999</v>
      </c>
      <c r="E24" s="144">
        <v>6221.9349999999995</v>
      </c>
      <c r="F24" s="144">
        <v>344.35199999999998</v>
      </c>
      <c r="G24" s="145">
        <f t="shared" si="3"/>
        <v>20515.890999999996</v>
      </c>
      <c r="H24" s="143">
        <v>154356.93812599999</v>
      </c>
      <c r="I24" s="144">
        <v>68195.393477999998</v>
      </c>
      <c r="J24" s="144">
        <v>3788.0739960000001</v>
      </c>
      <c r="K24" s="146">
        <f t="shared" si="0"/>
        <v>226340.4056</v>
      </c>
      <c r="L24" s="36"/>
      <c r="M24" s="36"/>
      <c r="N24" s="36"/>
      <c r="O24" s="36"/>
      <c r="P24" s="36"/>
      <c r="Q24" s="36"/>
    </row>
    <row r="25" spans="1:17" ht="14.15" customHeight="1">
      <c r="A25" s="395"/>
      <c r="B25" s="398" t="s">
        <v>51</v>
      </c>
      <c r="C25" s="147" t="s">
        <v>301</v>
      </c>
      <c r="D25" s="138">
        <v>79766.8</v>
      </c>
      <c r="E25" s="139">
        <v>227186.60200000001</v>
      </c>
      <c r="F25" s="139">
        <v>499161.03200000001</v>
      </c>
      <c r="G25" s="140">
        <f t="shared" si="3"/>
        <v>806114.43400000001</v>
      </c>
      <c r="H25" s="138">
        <v>877896.14287400001</v>
      </c>
      <c r="I25" s="139">
        <v>2497956.3865219997</v>
      </c>
      <c r="J25" s="139">
        <v>5480643.7290000003</v>
      </c>
      <c r="K25" s="141">
        <f t="shared" si="0"/>
        <v>8856496.2583959997</v>
      </c>
      <c r="L25" s="36"/>
      <c r="M25" s="36"/>
      <c r="N25" s="36"/>
      <c r="O25" s="36"/>
      <c r="P25" s="36"/>
      <c r="Q25" s="36"/>
    </row>
    <row r="26" spans="1:17" ht="14.15" customHeight="1">
      <c r="A26" s="395"/>
      <c r="B26" s="408"/>
      <c r="C26" s="137" t="s">
        <v>201</v>
      </c>
      <c r="D26" s="138">
        <v>20523.735000000004</v>
      </c>
      <c r="E26" s="139">
        <v>15144.658000000001</v>
      </c>
      <c r="F26" s="139">
        <v>77877.012000000002</v>
      </c>
      <c r="G26" s="140">
        <f t="shared" si="3"/>
        <v>113545.405</v>
      </c>
      <c r="H26" s="138">
        <v>224829.47294800001</v>
      </c>
      <c r="I26" s="139">
        <v>166758.32950900003</v>
      </c>
      <c r="J26" s="139">
        <v>853736.50005799998</v>
      </c>
      <c r="K26" s="141">
        <f t="shared" si="0"/>
        <v>1245324.3025150001</v>
      </c>
      <c r="L26" s="36"/>
      <c r="M26" s="36"/>
      <c r="N26" s="36"/>
      <c r="O26" s="36"/>
      <c r="P26" s="36"/>
      <c r="Q26" s="36"/>
    </row>
    <row r="27" spans="1:17" ht="14.15" customHeight="1">
      <c r="A27" s="395"/>
      <c r="B27" s="408"/>
      <c r="C27" s="137" t="s">
        <v>303</v>
      </c>
      <c r="D27" s="138">
        <v>11263.485999999994</v>
      </c>
      <c r="E27" s="139">
        <v>56778.829999999994</v>
      </c>
      <c r="F27" s="139">
        <v>89937.858000000007</v>
      </c>
      <c r="G27" s="140">
        <f t="shared" si="3"/>
        <v>157980.174</v>
      </c>
      <c r="H27" s="138">
        <v>124540.97105199999</v>
      </c>
      <c r="I27" s="139">
        <v>623965.17849099997</v>
      </c>
      <c r="J27" s="139">
        <v>986071.79294600012</v>
      </c>
      <c r="K27" s="141">
        <f t="shared" si="0"/>
        <v>1734577.942489</v>
      </c>
      <c r="L27" s="36"/>
      <c r="M27" s="36"/>
      <c r="N27" s="36"/>
      <c r="O27" s="36"/>
      <c r="P27" s="36"/>
      <c r="Q27" s="36"/>
    </row>
    <row r="28" spans="1:17" ht="14.15" customHeight="1">
      <c r="A28" s="395"/>
      <c r="B28" s="408"/>
      <c r="C28" s="137" t="s">
        <v>318</v>
      </c>
      <c r="D28" s="138">
        <v>0</v>
      </c>
      <c r="E28" s="139">
        <v>20493.557000000001</v>
      </c>
      <c r="F28" s="139">
        <v>942.351</v>
      </c>
      <c r="G28" s="140">
        <f t="shared" si="3"/>
        <v>21435.907999999999</v>
      </c>
      <c r="H28" s="138">
        <v>0</v>
      </c>
      <c r="I28" s="139">
        <v>224030.35399999999</v>
      </c>
      <c r="J28" s="139">
        <v>10311.24</v>
      </c>
      <c r="K28" s="141">
        <f t="shared" si="0"/>
        <v>234341.59399999998</v>
      </c>
      <c r="L28" s="36"/>
      <c r="M28" s="36"/>
      <c r="N28" s="36"/>
      <c r="O28" s="36"/>
      <c r="P28" s="36"/>
      <c r="Q28" s="36"/>
    </row>
    <row r="29" spans="1:17" ht="14.15" customHeight="1">
      <c r="A29" s="395"/>
      <c r="B29" s="409"/>
      <c r="C29" s="142" t="s">
        <v>24</v>
      </c>
      <c r="D29" s="143">
        <v>111554.02099999999</v>
      </c>
      <c r="E29" s="144">
        <v>319603.647</v>
      </c>
      <c r="F29" s="144">
        <v>667918.25300000003</v>
      </c>
      <c r="G29" s="145">
        <f t="shared" si="3"/>
        <v>1099075.9210000001</v>
      </c>
      <c r="H29" s="143">
        <v>1227266.586874</v>
      </c>
      <c r="I29" s="144">
        <v>3512710.2485219995</v>
      </c>
      <c r="J29" s="144">
        <v>7330763.2620040011</v>
      </c>
      <c r="K29" s="146">
        <f t="shared" si="0"/>
        <v>12070740.0974</v>
      </c>
      <c r="L29" s="36"/>
      <c r="M29" s="36"/>
      <c r="N29" s="36"/>
      <c r="O29" s="36"/>
      <c r="P29" s="36"/>
      <c r="Q29" s="36"/>
    </row>
    <row r="30" spans="1:17" ht="15" customHeight="1">
      <c r="A30" s="396"/>
      <c r="B30" s="393" t="s">
        <v>53</v>
      </c>
      <c r="C30" s="393"/>
      <c r="D30" s="143">
        <v>3230760.0806611339</v>
      </c>
      <c r="E30" s="144">
        <v>2930978.225661133</v>
      </c>
      <c r="F30" s="144">
        <v>2262989.5516611342</v>
      </c>
      <c r="G30" s="145">
        <f>F30</f>
        <v>2262989.5516611342</v>
      </c>
      <c r="H30" s="143">
        <v>35576973.178748928</v>
      </c>
      <c r="I30" s="144">
        <v>32280826.708360944</v>
      </c>
      <c r="J30" s="144">
        <v>24949149.220721945</v>
      </c>
      <c r="K30" s="146">
        <f>J30</f>
        <v>24949149.220721945</v>
      </c>
      <c r="L30" s="36"/>
      <c r="M30" s="36"/>
      <c r="N30" s="36"/>
      <c r="O30" s="36"/>
      <c r="P30" s="36"/>
      <c r="Q30" s="36"/>
    </row>
    <row r="31" spans="1:17" ht="15" customHeight="1">
      <c r="A31" s="394" t="s">
        <v>49</v>
      </c>
      <c r="B31" s="397" t="s">
        <v>191</v>
      </c>
      <c r="C31" s="147" t="s">
        <v>27</v>
      </c>
      <c r="D31" s="148">
        <v>9745.6330000000034</v>
      </c>
      <c r="E31" s="149">
        <v>9142.18</v>
      </c>
      <c r="F31" s="149">
        <v>9880.9080000000013</v>
      </c>
      <c r="G31" s="150">
        <f t="shared" si="3"/>
        <v>28768.721000000005</v>
      </c>
      <c r="H31" s="148">
        <v>105379.43236402301</v>
      </c>
      <c r="I31" s="149">
        <v>98500.251071750987</v>
      </c>
      <c r="J31" s="149">
        <v>106765.51857135499</v>
      </c>
      <c r="K31" s="151">
        <f t="shared" si="0"/>
        <v>310645.20200712897</v>
      </c>
      <c r="L31" s="36"/>
      <c r="M31" s="36"/>
      <c r="N31" s="36"/>
      <c r="O31" s="36"/>
      <c r="P31" s="36"/>
      <c r="Q31" s="36"/>
    </row>
    <row r="32" spans="1:17" ht="15" customHeight="1">
      <c r="A32" s="395"/>
      <c r="B32" s="398"/>
      <c r="C32" s="137" t="s">
        <v>30</v>
      </c>
      <c r="D32" s="138">
        <v>175.09000000000071</v>
      </c>
      <c r="E32" s="139">
        <v>244.89199999999784</v>
      </c>
      <c r="F32" s="139">
        <v>388.79300000000046</v>
      </c>
      <c r="G32" s="140">
        <f t="shared" si="3"/>
        <v>808.77499999999895</v>
      </c>
      <c r="H32" s="138">
        <v>1918.5829999999855</v>
      </c>
      <c r="I32" s="139">
        <v>2910.5249999999814</v>
      </c>
      <c r="J32" s="139">
        <v>4372.1550000000052</v>
      </c>
      <c r="K32" s="141">
        <f t="shared" si="0"/>
        <v>9201.2629999999735</v>
      </c>
      <c r="L32" s="36"/>
      <c r="M32" s="36"/>
      <c r="N32" s="36"/>
      <c r="O32" s="36"/>
      <c r="P32" s="36"/>
      <c r="Q32" s="36"/>
    </row>
    <row r="33" spans="1:17" ht="15" customHeight="1">
      <c r="A33" s="395"/>
      <c r="B33" s="399"/>
      <c r="C33" s="142" t="s">
        <v>24</v>
      </c>
      <c r="D33" s="143">
        <v>9920.7230000000036</v>
      </c>
      <c r="E33" s="144">
        <v>9387.0719999999983</v>
      </c>
      <c r="F33" s="144">
        <v>10269.701000000001</v>
      </c>
      <c r="G33" s="145">
        <f t="shared" si="3"/>
        <v>29577.496000000003</v>
      </c>
      <c r="H33" s="143">
        <v>107298.015364023</v>
      </c>
      <c r="I33" s="144">
        <v>101410.77607175097</v>
      </c>
      <c r="J33" s="144">
        <v>111137.67357135499</v>
      </c>
      <c r="K33" s="146">
        <f t="shared" si="0"/>
        <v>319846.46500712895</v>
      </c>
      <c r="L33" s="36"/>
      <c r="M33" s="36"/>
      <c r="N33" s="36"/>
      <c r="O33" s="36"/>
      <c r="P33" s="36"/>
      <c r="Q33" s="36"/>
    </row>
    <row r="34" spans="1:17" ht="15" customHeight="1">
      <c r="A34" s="395"/>
      <c r="B34" s="398" t="s">
        <v>192</v>
      </c>
      <c r="C34" s="137" t="s">
        <v>27</v>
      </c>
      <c r="D34" s="138">
        <v>765.25099999999998</v>
      </c>
      <c r="E34" s="139">
        <v>817.82600000000002</v>
      </c>
      <c r="F34" s="139">
        <v>955.38400000000001</v>
      </c>
      <c r="G34" s="140">
        <f t="shared" si="3"/>
        <v>2538.4610000000002</v>
      </c>
      <c r="H34" s="138">
        <v>8067.1360000000004</v>
      </c>
      <c r="I34" s="139">
        <v>8557.3739999999998</v>
      </c>
      <c r="J34" s="139">
        <v>10099.93</v>
      </c>
      <c r="K34" s="141">
        <f t="shared" si="0"/>
        <v>26724.440000000002</v>
      </c>
      <c r="L34" s="36"/>
      <c r="M34" s="36"/>
      <c r="N34" s="36"/>
      <c r="O34" s="36"/>
      <c r="P34" s="36"/>
      <c r="Q34" s="36"/>
    </row>
    <row r="35" spans="1:17" ht="15" customHeight="1">
      <c r="A35" s="395"/>
      <c r="B35" s="398"/>
      <c r="C35" s="137" t="s">
        <v>30</v>
      </c>
      <c r="D35" s="138">
        <v>0</v>
      </c>
      <c r="E35" s="139">
        <v>0</v>
      </c>
      <c r="F35" s="139">
        <v>13.654999999999999</v>
      </c>
      <c r="G35" s="140">
        <f t="shared" si="3"/>
        <v>13.654999999999999</v>
      </c>
      <c r="H35" s="138">
        <v>0</v>
      </c>
      <c r="I35" s="139">
        <v>0</v>
      </c>
      <c r="J35" s="139">
        <v>145.02799999999999</v>
      </c>
      <c r="K35" s="141">
        <f t="shared" si="0"/>
        <v>145.02799999999999</v>
      </c>
      <c r="L35" s="36"/>
      <c r="M35" s="36"/>
      <c r="N35" s="36"/>
      <c r="O35" s="36"/>
      <c r="P35" s="36"/>
      <c r="Q35" s="36"/>
    </row>
    <row r="36" spans="1:17" ht="15" customHeight="1">
      <c r="A36" s="395"/>
      <c r="B36" s="399"/>
      <c r="C36" s="142" t="s">
        <v>24</v>
      </c>
      <c r="D36" s="143">
        <v>765.25099999999998</v>
      </c>
      <c r="E36" s="144">
        <v>817.82600000000002</v>
      </c>
      <c r="F36" s="144">
        <v>969.03899999999999</v>
      </c>
      <c r="G36" s="145">
        <f t="shared" si="3"/>
        <v>2552.116</v>
      </c>
      <c r="H36" s="143">
        <v>8067.1360000000004</v>
      </c>
      <c r="I36" s="144">
        <v>8557.3739999999998</v>
      </c>
      <c r="J36" s="144">
        <v>10244.958000000001</v>
      </c>
      <c r="K36" s="146">
        <f t="shared" si="0"/>
        <v>26869.468000000001</v>
      </c>
      <c r="L36" s="36"/>
      <c r="M36" s="36"/>
      <c r="N36" s="36"/>
      <c r="O36" s="36"/>
      <c r="P36" s="36"/>
      <c r="Q36" s="36"/>
    </row>
    <row r="37" spans="1:17" ht="15" customHeight="1">
      <c r="A37" s="395"/>
      <c r="B37" s="398" t="s">
        <v>24</v>
      </c>
      <c r="C37" s="137" t="s">
        <v>27</v>
      </c>
      <c r="D37" s="138">
        <v>10510.884000000004</v>
      </c>
      <c r="E37" s="139">
        <v>9960.0060000000012</v>
      </c>
      <c r="F37" s="139">
        <v>10836.292000000001</v>
      </c>
      <c r="G37" s="140">
        <f t="shared" si="3"/>
        <v>31307.182000000008</v>
      </c>
      <c r="H37" s="138">
        <v>113446.56836402301</v>
      </c>
      <c r="I37" s="139">
        <v>107057.62507175098</v>
      </c>
      <c r="J37" s="139">
        <v>116865.44857135499</v>
      </c>
      <c r="K37" s="141">
        <f t="shared" si="0"/>
        <v>337369.64200712903</v>
      </c>
      <c r="L37" s="36"/>
      <c r="M37" s="36"/>
      <c r="N37" s="36"/>
      <c r="O37" s="36"/>
      <c r="P37" s="36"/>
      <c r="Q37" s="36"/>
    </row>
    <row r="38" spans="1:17" ht="15" customHeight="1">
      <c r="A38" s="395"/>
      <c r="B38" s="398"/>
      <c r="C38" s="137" t="s">
        <v>30</v>
      </c>
      <c r="D38" s="138">
        <v>175.09000000000071</v>
      </c>
      <c r="E38" s="139">
        <v>244.89199999999784</v>
      </c>
      <c r="F38" s="139">
        <v>402.44800000000043</v>
      </c>
      <c r="G38" s="140">
        <f t="shared" si="3"/>
        <v>822.42999999999893</v>
      </c>
      <c r="H38" s="138">
        <v>1918.5829999999855</v>
      </c>
      <c r="I38" s="139">
        <v>2910.5249999999814</v>
      </c>
      <c r="J38" s="139">
        <v>4517.1830000000054</v>
      </c>
      <c r="K38" s="141">
        <f t="shared" si="0"/>
        <v>9346.290999999972</v>
      </c>
      <c r="L38" s="36"/>
      <c r="M38" s="36"/>
      <c r="N38" s="36"/>
      <c r="O38" s="36"/>
      <c r="P38" s="36"/>
      <c r="Q38" s="36"/>
    </row>
    <row r="39" spans="1:17" ht="15" customHeight="1">
      <c r="A39" s="396"/>
      <c r="B39" s="399"/>
      <c r="C39" s="142" t="s">
        <v>24</v>
      </c>
      <c r="D39" s="143">
        <v>10685.974000000004</v>
      </c>
      <c r="E39" s="144">
        <v>10204.897999999999</v>
      </c>
      <c r="F39" s="144">
        <v>11238.740000000002</v>
      </c>
      <c r="G39" s="145">
        <f t="shared" si="3"/>
        <v>32129.612000000005</v>
      </c>
      <c r="H39" s="143">
        <v>115365.151364023</v>
      </c>
      <c r="I39" s="144">
        <v>109968.15007175096</v>
      </c>
      <c r="J39" s="144">
        <v>121382.631571355</v>
      </c>
      <c r="K39" s="146">
        <f t="shared" si="0"/>
        <v>346715.93300712894</v>
      </c>
      <c r="L39" s="36"/>
      <c r="M39" s="36"/>
      <c r="N39" s="36"/>
      <c r="O39" s="36"/>
      <c r="P39" s="36"/>
      <c r="Q39" s="36"/>
    </row>
    <row r="40" spans="1:17" ht="15" customHeight="1">
      <c r="A40" s="394" t="s">
        <v>63</v>
      </c>
      <c r="B40" s="397" t="s">
        <v>52</v>
      </c>
      <c r="C40" s="147" t="s">
        <v>65</v>
      </c>
      <c r="D40" s="148">
        <v>596452.52484553389</v>
      </c>
      <c r="E40" s="149">
        <v>791128.77452229406</v>
      </c>
      <c r="F40" s="149">
        <v>884657.31359287701</v>
      </c>
      <c r="G40" s="150">
        <f t="shared" si="3"/>
        <v>2272238.6129607046</v>
      </c>
      <c r="H40" s="148">
        <v>6592488.4952431517</v>
      </c>
      <c r="I40" s="149">
        <v>8710950.2088850699</v>
      </c>
      <c r="J40" s="149">
        <v>9714481.8959030639</v>
      </c>
      <c r="K40" s="151">
        <f t="shared" si="0"/>
        <v>25017920.600031286</v>
      </c>
      <c r="L40" s="36"/>
      <c r="M40" s="36"/>
      <c r="N40" s="36"/>
      <c r="O40" s="36"/>
      <c r="P40" s="36"/>
      <c r="Q40" s="36"/>
    </row>
    <row r="41" spans="1:17" ht="15" customHeight="1">
      <c r="A41" s="395"/>
      <c r="B41" s="398"/>
      <c r="C41" s="137" t="s">
        <v>28</v>
      </c>
      <c r="D41" s="138">
        <v>6556.6367414859997</v>
      </c>
      <c r="E41" s="139">
        <v>12286.827635079</v>
      </c>
      <c r="F41" s="139">
        <v>16346.17438837</v>
      </c>
      <c r="G41" s="140">
        <f t="shared" si="3"/>
        <v>35189.638764935</v>
      </c>
      <c r="H41" s="138">
        <v>72477.579130000013</v>
      </c>
      <c r="I41" s="139">
        <v>135283.27883999998</v>
      </c>
      <c r="J41" s="139">
        <v>179478.59643000003</v>
      </c>
      <c r="K41" s="141">
        <f t="shared" si="0"/>
        <v>387239.45440000005</v>
      </c>
      <c r="L41" s="36"/>
      <c r="M41" s="36"/>
      <c r="N41" s="36"/>
      <c r="O41" s="36"/>
      <c r="P41" s="36"/>
      <c r="Q41" s="36"/>
    </row>
    <row r="42" spans="1:17" ht="15" customHeight="1">
      <c r="A42" s="395"/>
      <c r="B42" s="399"/>
      <c r="C42" s="142" t="s">
        <v>24</v>
      </c>
      <c r="D42" s="143">
        <v>603009.16158701992</v>
      </c>
      <c r="E42" s="144">
        <v>803415.6021573731</v>
      </c>
      <c r="F42" s="144">
        <v>901003.48798124702</v>
      </c>
      <c r="G42" s="145">
        <f t="shared" si="3"/>
        <v>2307428.2517256401</v>
      </c>
      <c r="H42" s="143">
        <v>6664966.0743731521</v>
      </c>
      <c r="I42" s="144">
        <v>8846233.4877250697</v>
      </c>
      <c r="J42" s="144">
        <v>9893960.4923330639</v>
      </c>
      <c r="K42" s="146">
        <f t="shared" si="0"/>
        <v>25405160.054431286</v>
      </c>
      <c r="L42" s="36"/>
      <c r="M42" s="36"/>
      <c r="N42" s="36"/>
      <c r="O42" s="36"/>
      <c r="P42" s="36"/>
      <c r="Q42" s="36"/>
    </row>
    <row r="43" spans="1:17" ht="15" customHeight="1">
      <c r="A43" s="395"/>
      <c r="B43" s="397" t="s">
        <v>297</v>
      </c>
      <c r="C43" s="147" t="s">
        <v>65</v>
      </c>
      <c r="D43" s="148">
        <v>764.2199999999998</v>
      </c>
      <c r="E43" s="149">
        <v>920.46699999999998</v>
      </c>
      <c r="F43" s="149">
        <v>1145.48</v>
      </c>
      <c r="G43" s="150">
        <f t="shared" si="3"/>
        <v>2830.1669999999999</v>
      </c>
      <c r="H43" s="148">
        <v>8056.8870000000006</v>
      </c>
      <c r="I43" s="149">
        <v>9695.6650000000009</v>
      </c>
      <c r="J43" s="149">
        <v>12196.057000000001</v>
      </c>
      <c r="K43" s="151">
        <f t="shared" si="0"/>
        <v>29948.609000000004</v>
      </c>
      <c r="L43" s="36"/>
      <c r="M43" s="36"/>
      <c r="N43" s="36"/>
      <c r="O43" s="36"/>
      <c r="P43" s="36"/>
      <c r="Q43" s="36"/>
    </row>
    <row r="44" spans="1:17" ht="15" customHeight="1">
      <c r="A44" s="395"/>
      <c r="B44" s="398"/>
      <c r="C44" s="137" t="s">
        <v>28</v>
      </c>
      <c r="D44" s="138">
        <v>0</v>
      </c>
      <c r="E44" s="139">
        <v>0</v>
      </c>
      <c r="F44" s="139">
        <v>13.654999999999999</v>
      </c>
      <c r="G44" s="140">
        <f t="shared" si="3"/>
        <v>13.654999999999999</v>
      </c>
      <c r="H44" s="138">
        <v>0</v>
      </c>
      <c r="I44" s="139">
        <v>0</v>
      </c>
      <c r="J44" s="139">
        <v>145.02799999999999</v>
      </c>
      <c r="K44" s="141">
        <f t="shared" si="0"/>
        <v>145.02799999999999</v>
      </c>
      <c r="L44" s="36"/>
      <c r="M44" s="36"/>
      <c r="N44" s="36"/>
      <c r="O44" s="36"/>
      <c r="P44" s="36"/>
      <c r="Q44" s="36"/>
    </row>
    <row r="45" spans="1:17" ht="15" customHeight="1">
      <c r="A45" s="395"/>
      <c r="B45" s="399"/>
      <c r="C45" s="142" t="s">
        <v>24</v>
      </c>
      <c r="D45" s="143">
        <v>764.2199999999998</v>
      </c>
      <c r="E45" s="144">
        <v>920.46699999999998</v>
      </c>
      <c r="F45" s="144">
        <v>1159.135</v>
      </c>
      <c r="G45" s="145">
        <f t="shared" si="3"/>
        <v>2843.8220000000001</v>
      </c>
      <c r="H45" s="143">
        <v>8056.8870000000006</v>
      </c>
      <c r="I45" s="144">
        <v>9695.6650000000009</v>
      </c>
      <c r="J45" s="144">
        <v>12341.085000000001</v>
      </c>
      <c r="K45" s="146">
        <f t="shared" si="0"/>
        <v>30093.637000000002</v>
      </c>
      <c r="L45" s="36"/>
      <c r="M45" s="36"/>
      <c r="N45" s="36"/>
      <c r="O45" s="36"/>
      <c r="P45" s="36"/>
      <c r="Q45" s="36"/>
    </row>
    <row r="46" spans="1:17" ht="15" customHeight="1">
      <c r="A46" s="395"/>
      <c r="B46" s="400" t="s">
        <v>83</v>
      </c>
      <c r="C46" s="400"/>
      <c r="D46" s="152">
        <v>175.09000000000071</v>
      </c>
      <c r="E46" s="153">
        <v>244.89199999999784</v>
      </c>
      <c r="F46" s="153">
        <v>388.79300000000046</v>
      </c>
      <c r="G46" s="154">
        <f t="shared" si="3"/>
        <v>808.77499999999895</v>
      </c>
      <c r="H46" s="152">
        <v>1918.5829999999855</v>
      </c>
      <c r="I46" s="153">
        <v>2910.5249999999814</v>
      </c>
      <c r="J46" s="153">
        <v>4372.1550000000052</v>
      </c>
      <c r="K46" s="155">
        <f t="shared" si="0"/>
        <v>9201.2629999999735</v>
      </c>
      <c r="L46" s="36"/>
      <c r="M46" s="36"/>
      <c r="N46" s="36"/>
      <c r="O46" s="36"/>
      <c r="P46" s="36"/>
      <c r="Q46" s="36"/>
    </row>
    <row r="47" spans="1:17" ht="15" customHeight="1">
      <c r="A47" s="395"/>
      <c r="B47" s="400" t="s">
        <v>82</v>
      </c>
      <c r="C47" s="400"/>
      <c r="D47" s="152">
        <v>1494.8989999999999</v>
      </c>
      <c r="E47" s="153">
        <v>1426.2819999999999</v>
      </c>
      <c r="F47" s="153">
        <v>35811.464</v>
      </c>
      <c r="G47" s="154">
        <f t="shared" si="3"/>
        <v>38732.644999999997</v>
      </c>
      <c r="H47" s="152">
        <v>16533.059959000006</v>
      </c>
      <c r="I47" s="153">
        <v>15737.763898999998</v>
      </c>
      <c r="J47" s="153">
        <v>393683.90964200004</v>
      </c>
      <c r="K47" s="155">
        <f t="shared" si="0"/>
        <v>425954.73350000003</v>
      </c>
      <c r="L47" s="36"/>
      <c r="M47" s="36"/>
      <c r="N47" s="36"/>
      <c r="O47" s="36"/>
      <c r="P47" s="36"/>
      <c r="Q47" s="36"/>
    </row>
    <row r="48" spans="1:17" ht="15" customHeight="1">
      <c r="A48" s="395"/>
      <c r="B48" s="398" t="s">
        <v>29</v>
      </c>
      <c r="C48" s="137" t="s">
        <v>65</v>
      </c>
      <c r="D48" s="138">
        <v>598711.64384553384</v>
      </c>
      <c r="E48" s="139">
        <v>793475.52352229401</v>
      </c>
      <c r="F48" s="139">
        <v>921614.25759287702</v>
      </c>
      <c r="G48" s="140">
        <f t="shared" si="3"/>
        <v>2313801.424960705</v>
      </c>
      <c r="H48" s="138">
        <v>6617078.4422021518</v>
      </c>
      <c r="I48" s="139">
        <v>8736383.6377840694</v>
      </c>
      <c r="J48" s="139">
        <v>10120361.862545064</v>
      </c>
      <c r="K48" s="141">
        <f t="shared" si="0"/>
        <v>25473823.942531288</v>
      </c>
      <c r="L48" s="36"/>
      <c r="M48" s="36"/>
      <c r="N48" s="36"/>
      <c r="O48" s="36"/>
      <c r="P48" s="36"/>
      <c r="Q48" s="36"/>
    </row>
    <row r="49" spans="1:17" ht="15" customHeight="1">
      <c r="A49" s="395"/>
      <c r="B49" s="398"/>
      <c r="C49" s="137" t="s">
        <v>91</v>
      </c>
      <c r="D49" s="138">
        <v>6778.0740414860011</v>
      </c>
      <c r="E49" s="139">
        <v>12595.163216078998</v>
      </c>
      <c r="F49" s="139">
        <v>16829.766197370001</v>
      </c>
      <c r="G49" s="140">
        <f t="shared" si="3"/>
        <v>36203.003454935002</v>
      </c>
      <c r="H49" s="138">
        <v>74909.540072999996</v>
      </c>
      <c r="I49" s="139">
        <v>138892.14133099999</v>
      </c>
      <c r="J49" s="139">
        <v>184887.87809700004</v>
      </c>
      <c r="K49" s="141">
        <f t="shared" si="0"/>
        <v>398689.55950099998</v>
      </c>
      <c r="L49" s="36"/>
      <c r="M49" s="36"/>
      <c r="N49" s="36"/>
      <c r="O49" s="36"/>
      <c r="P49" s="36"/>
      <c r="Q49" s="36"/>
    </row>
    <row r="50" spans="1:17" ht="15" customHeight="1">
      <c r="A50" s="396"/>
      <c r="B50" s="399"/>
      <c r="C50" s="142" t="s">
        <v>24</v>
      </c>
      <c r="D50" s="143">
        <v>605489.71788701985</v>
      </c>
      <c r="E50" s="144">
        <v>806070.68673837301</v>
      </c>
      <c r="F50" s="144">
        <v>938444.02379024704</v>
      </c>
      <c r="G50" s="145">
        <f>SUM(D50:F50)</f>
        <v>2350004.4284156403</v>
      </c>
      <c r="H50" s="143">
        <v>6691987.9822751516</v>
      </c>
      <c r="I50" s="144">
        <v>8875275.7791150697</v>
      </c>
      <c r="J50" s="144">
        <v>10305249.740642063</v>
      </c>
      <c r="K50" s="146">
        <f t="shared" si="0"/>
        <v>25872513.502032284</v>
      </c>
      <c r="L50" s="36"/>
      <c r="M50" s="36"/>
      <c r="N50" s="36"/>
      <c r="O50" s="36"/>
      <c r="P50" s="36"/>
      <c r="Q50" s="36"/>
    </row>
    <row r="51" spans="1:17" ht="1" customHeight="1">
      <c r="A51" s="134"/>
      <c r="B51" s="135"/>
      <c r="C51" s="156"/>
      <c r="D51" s="138"/>
      <c r="E51" s="139"/>
      <c r="F51" s="139"/>
      <c r="G51" s="140"/>
      <c r="H51" s="138"/>
      <c r="I51" s="139"/>
      <c r="J51" s="139"/>
      <c r="K51" s="141"/>
      <c r="L51" s="36"/>
      <c r="M51" s="36"/>
      <c r="N51" s="36"/>
      <c r="O51" s="36"/>
      <c r="P51" s="36"/>
      <c r="Q51" s="36"/>
    </row>
    <row r="52" spans="1:17" ht="1" customHeight="1">
      <c r="A52" s="134"/>
      <c r="B52" s="135"/>
      <c r="C52" s="156"/>
      <c r="D52" s="138"/>
      <c r="E52" s="139"/>
      <c r="F52" s="139"/>
      <c r="G52" s="140"/>
      <c r="H52" s="138"/>
      <c r="I52" s="139"/>
      <c r="J52" s="139"/>
      <c r="K52" s="141"/>
      <c r="L52" s="36"/>
      <c r="M52" s="36"/>
      <c r="N52" s="36"/>
      <c r="O52" s="36"/>
      <c r="P52" s="36"/>
      <c r="Q52" s="36"/>
    </row>
    <row r="53" spans="1:17" ht="1" customHeight="1">
      <c r="A53" s="134"/>
      <c r="B53" s="135"/>
      <c r="C53" s="156"/>
      <c r="D53" s="138"/>
      <c r="E53" s="139"/>
      <c r="F53" s="139"/>
      <c r="G53" s="140"/>
      <c r="H53" s="138"/>
      <c r="I53" s="139"/>
      <c r="J53" s="139"/>
      <c r="K53" s="141"/>
      <c r="L53" s="36"/>
      <c r="M53" s="36"/>
      <c r="N53" s="36"/>
      <c r="O53" s="36"/>
      <c r="P53" s="36"/>
      <c r="Q53" s="36"/>
    </row>
    <row r="54" spans="1:17" ht="14.15" customHeight="1">
      <c r="A54" s="393" t="s">
        <v>94</v>
      </c>
      <c r="B54" s="393"/>
      <c r="C54" s="393"/>
      <c r="D54" s="143">
        <v>4619.1811635191552</v>
      </c>
      <c r="E54" s="144">
        <v>-6385.5152784580132</v>
      </c>
      <c r="F54" s="144">
        <v>-7161.6453137700446</v>
      </c>
      <c r="G54" s="145">
        <f t="shared" si="3"/>
        <v>-8927.9794287089026</v>
      </c>
      <c r="H54" s="143">
        <v>34094.564124270342</v>
      </c>
      <c r="I54" s="144">
        <v>-55214.68549111858</v>
      </c>
      <c r="J54" s="144">
        <v>-93108.233505709097</v>
      </c>
      <c r="K54" s="146">
        <f>SUM(H54:J54)</f>
        <v>-114228.35487255733</v>
      </c>
      <c r="L54" s="36"/>
      <c r="M54" s="36"/>
      <c r="N54" s="36"/>
      <c r="O54" s="36"/>
      <c r="P54" s="36"/>
      <c r="Q54" s="36"/>
    </row>
    <row r="55" spans="1:17" ht="5.15" customHeight="1">
      <c r="M55" s="36"/>
    </row>
    <row r="56" spans="1:17" ht="10" customHeight="1">
      <c r="A56" s="401" t="s">
        <v>300</v>
      </c>
      <c r="B56" s="401"/>
      <c r="C56" s="401"/>
      <c r="D56" s="401"/>
      <c r="E56" s="401"/>
      <c r="F56" s="401"/>
      <c r="G56" s="401"/>
      <c r="H56" s="401"/>
      <c r="I56" s="401"/>
      <c r="J56" s="401"/>
      <c r="K56" s="401"/>
    </row>
    <row r="57" spans="1:17">
      <c r="A57" s="401"/>
      <c r="B57" s="401"/>
      <c r="C57" s="401"/>
      <c r="D57" s="401"/>
      <c r="E57" s="401"/>
      <c r="F57" s="401"/>
      <c r="G57" s="401"/>
      <c r="H57" s="401"/>
      <c r="I57" s="401"/>
      <c r="J57" s="401"/>
      <c r="K57" s="401"/>
    </row>
    <row r="58" spans="1:17">
      <c r="A58" s="401"/>
      <c r="B58" s="401"/>
      <c r="C58" s="401"/>
      <c r="D58" s="401"/>
      <c r="E58" s="401"/>
      <c r="F58" s="401"/>
      <c r="G58" s="401"/>
      <c r="H58" s="401"/>
      <c r="I58" s="401"/>
      <c r="J58" s="401"/>
      <c r="K58" s="401"/>
    </row>
    <row r="59" spans="1:17">
      <c r="A59" s="501"/>
      <c r="B59" s="501"/>
      <c r="C59" s="501"/>
      <c r="D59" s="501"/>
      <c r="E59" s="501"/>
      <c r="F59" s="501"/>
      <c r="G59" s="501"/>
      <c r="H59" s="501"/>
      <c r="I59" s="501"/>
      <c r="J59" s="501"/>
      <c r="K59" s="501"/>
    </row>
  </sheetData>
  <mergeCells count="25">
    <mergeCell ref="A56:K58"/>
    <mergeCell ref="A2:K2"/>
    <mergeCell ref="D3:K3"/>
    <mergeCell ref="D4:G4"/>
    <mergeCell ref="H4:K4"/>
    <mergeCell ref="B6:B8"/>
    <mergeCell ref="B9:B11"/>
    <mergeCell ref="B12:B14"/>
    <mergeCell ref="A6:A14"/>
    <mergeCell ref="B15:B19"/>
    <mergeCell ref="B20:B24"/>
    <mergeCell ref="B25:B29"/>
    <mergeCell ref="A15:A30"/>
    <mergeCell ref="B30:C30"/>
    <mergeCell ref="B48:B50"/>
    <mergeCell ref="A40:A50"/>
    <mergeCell ref="A54:C54"/>
    <mergeCell ref="A31:A39"/>
    <mergeCell ref="B31:B33"/>
    <mergeCell ref="B34:B36"/>
    <mergeCell ref="B37:B39"/>
    <mergeCell ref="B40:B42"/>
    <mergeCell ref="B43:B45"/>
    <mergeCell ref="B46:C46"/>
    <mergeCell ref="B47:C4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G30 K30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9"/>
  <dimension ref="A1:W43"/>
  <sheetViews>
    <sheetView showGridLines="0" topLeftCell="A25" zoomScaleNormal="100" zoomScaleSheetLayoutView="100" workbookViewId="0">
      <selection activeCell="G1" sqref="G1"/>
    </sheetView>
  </sheetViews>
  <sheetFormatPr defaultRowHeight="10"/>
  <cols>
    <col min="1" max="1" width="8.26953125" style="4" customWidth="1"/>
    <col min="2" max="7" width="7.26953125" style="4" customWidth="1"/>
    <col min="8" max="8" width="6.7265625" style="4" customWidth="1"/>
    <col min="9" max="10" width="8.26953125" style="4" customWidth="1"/>
    <col min="11" max="11" width="8" style="4" customWidth="1"/>
    <col min="12" max="12" width="7.7265625" style="4" customWidth="1"/>
    <col min="13" max="16" width="7.453125" style="4" customWidth="1"/>
    <col min="17" max="17" width="6.7265625" style="4" customWidth="1"/>
    <col min="18" max="18" width="8.26953125" style="4" customWidth="1"/>
    <col min="19" max="19" width="8.1796875" style="4" customWidth="1"/>
    <col min="20" max="20" width="9.26953125" style="4" bestFit="1" customWidth="1"/>
    <col min="21" max="21" width="11.453125" style="4" bestFit="1" customWidth="1"/>
    <col min="22" max="260" width="9.1796875" style="4"/>
    <col min="261" max="273" width="10.7265625" style="4" customWidth="1"/>
    <col min="274" max="516" width="9.1796875" style="4"/>
    <col min="517" max="529" width="10.7265625" style="4" customWidth="1"/>
    <col min="530" max="772" width="9.1796875" style="4"/>
    <col min="773" max="785" width="10.7265625" style="4" customWidth="1"/>
    <col min="786" max="1028" width="9.1796875" style="4"/>
    <col min="1029" max="1041" width="10.7265625" style="4" customWidth="1"/>
    <col min="1042" max="1284" width="9.1796875" style="4"/>
    <col min="1285" max="1297" width="10.7265625" style="4" customWidth="1"/>
    <col min="1298" max="1540" width="9.1796875" style="4"/>
    <col min="1541" max="1553" width="10.7265625" style="4" customWidth="1"/>
    <col min="1554" max="1796" width="9.1796875" style="4"/>
    <col min="1797" max="1809" width="10.7265625" style="4" customWidth="1"/>
    <col min="1810" max="2052" width="9.1796875" style="4"/>
    <col min="2053" max="2065" width="10.7265625" style="4" customWidth="1"/>
    <col min="2066" max="2308" width="9.1796875" style="4"/>
    <col min="2309" max="2321" width="10.7265625" style="4" customWidth="1"/>
    <col min="2322" max="2564" width="9.1796875" style="4"/>
    <col min="2565" max="2577" width="10.7265625" style="4" customWidth="1"/>
    <col min="2578" max="2820" width="9.1796875" style="4"/>
    <col min="2821" max="2833" width="10.7265625" style="4" customWidth="1"/>
    <col min="2834" max="3076" width="9.1796875" style="4"/>
    <col min="3077" max="3089" width="10.7265625" style="4" customWidth="1"/>
    <col min="3090" max="3332" width="9.1796875" style="4"/>
    <col min="3333" max="3345" width="10.7265625" style="4" customWidth="1"/>
    <col min="3346" max="3588" width="9.1796875" style="4"/>
    <col min="3589" max="3601" width="10.7265625" style="4" customWidth="1"/>
    <col min="3602" max="3844" width="9.1796875" style="4"/>
    <col min="3845" max="3857" width="10.7265625" style="4" customWidth="1"/>
    <col min="3858" max="4100" width="9.1796875" style="4"/>
    <col min="4101" max="4113" width="10.7265625" style="4" customWidth="1"/>
    <col min="4114" max="4356" width="9.1796875" style="4"/>
    <col min="4357" max="4369" width="10.7265625" style="4" customWidth="1"/>
    <col min="4370" max="4612" width="9.1796875" style="4"/>
    <col min="4613" max="4625" width="10.7265625" style="4" customWidth="1"/>
    <col min="4626" max="4868" width="9.1796875" style="4"/>
    <col min="4869" max="4881" width="10.7265625" style="4" customWidth="1"/>
    <col min="4882" max="5124" width="9.1796875" style="4"/>
    <col min="5125" max="5137" width="10.7265625" style="4" customWidth="1"/>
    <col min="5138" max="5380" width="9.1796875" style="4"/>
    <col min="5381" max="5393" width="10.7265625" style="4" customWidth="1"/>
    <col min="5394" max="5636" width="9.1796875" style="4"/>
    <col min="5637" max="5649" width="10.7265625" style="4" customWidth="1"/>
    <col min="5650" max="5892" width="9.1796875" style="4"/>
    <col min="5893" max="5905" width="10.7265625" style="4" customWidth="1"/>
    <col min="5906" max="6148" width="9.1796875" style="4"/>
    <col min="6149" max="6161" width="10.7265625" style="4" customWidth="1"/>
    <col min="6162" max="6404" width="9.1796875" style="4"/>
    <col min="6405" max="6417" width="10.7265625" style="4" customWidth="1"/>
    <col min="6418" max="6660" width="9.1796875" style="4"/>
    <col min="6661" max="6673" width="10.7265625" style="4" customWidth="1"/>
    <col min="6674" max="6916" width="9.1796875" style="4"/>
    <col min="6917" max="6929" width="10.7265625" style="4" customWidth="1"/>
    <col min="6930" max="7172" width="9.1796875" style="4"/>
    <col min="7173" max="7185" width="10.7265625" style="4" customWidth="1"/>
    <col min="7186" max="7428" width="9.1796875" style="4"/>
    <col min="7429" max="7441" width="10.7265625" style="4" customWidth="1"/>
    <col min="7442" max="7684" width="9.1796875" style="4"/>
    <col min="7685" max="7697" width="10.7265625" style="4" customWidth="1"/>
    <col min="7698" max="7940" width="9.1796875" style="4"/>
    <col min="7941" max="7953" width="10.7265625" style="4" customWidth="1"/>
    <col min="7954" max="8196" width="9.1796875" style="4"/>
    <col min="8197" max="8209" width="10.7265625" style="4" customWidth="1"/>
    <col min="8210" max="8452" width="9.1796875" style="4"/>
    <col min="8453" max="8465" width="10.7265625" style="4" customWidth="1"/>
    <col min="8466" max="8708" width="9.1796875" style="4"/>
    <col min="8709" max="8721" width="10.7265625" style="4" customWidth="1"/>
    <col min="8722" max="8964" width="9.1796875" style="4"/>
    <col min="8965" max="8977" width="10.7265625" style="4" customWidth="1"/>
    <col min="8978" max="9220" width="9.1796875" style="4"/>
    <col min="9221" max="9233" width="10.7265625" style="4" customWidth="1"/>
    <col min="9234" max="9476" width="9.1796875" style="4"/>
    <col min="9477" max="9489" width="10.7265625" style="4" customWidth="1"/>
    <col min="9490" max="9732" width="9.1796875" style="4"/>
    <col min="9733" max="9745" width="10.7265625" style="4" customWidth="1"/>
    <col min="9746" max="9988" width="9.1796875" style="4"/>
    <col min="9989" max="10001" width="10.7265625" style="4" customWidth="1"/>
    <col min="10002" max="10244" width="9.1796875" style="4"/>
    <col min="10245" max="10257" width="10.7265625" style="4" customWidth="1"/>
    <col min="10258" max="10500" width="9.1796875" style="4"/>
    <col min="10501" max="10513" width="10.7265625" style="4" customWidth="1"/>
    <col min="10514" max="10756" width="9.1796875" style="4"/>
    <col min="10757" max="10769" width="10.7265625" style="4" customWidth="1"/>
    <col min="10770" max="11012" width="9.1796875" style="4"/>
    <col min="11013" max="11025" width="10.7265625" style="4" customWidth="1"/>
    <col min="11026" max="11268" width="9.1796875" style="4"/>
    <col min="11269" max="11281" width="10.7265625" style="4" customWidth="1"/>
    <col min="11282" max="11524" width="9.1796875" style="4"/>
    <col min="11525" max="11537" width="10.7265625" style="4" customWidth="1"/>
    <col min="11538" max="11780" width="9.1796875" style="4"/>
    <col min="11781" max="11793" width="10.7265625" style="4" customWidth="1"/>
    <col min="11794" max="12036" width="9.1796875" style="4"/>
    <col min="12037" max="12049" width="10.7265625" style="4" customWidth="1"/>
    <col min="12050" max="12292" width="9.1796875" style="4"/>
    <col min="12293" max="12305" width="10.7265625" style="4" customWidth="1"/>
    <col min="12306" max="12548" width="9.1796875" style="4"/>
    <col min="12549" max="12561" width="10.7265625" style="4" customWidth="1"/>
    <col min="12562" max="12804" width="9.1796875" style="4"/>
    <col min="12805" max="12817" width="10.7265625" style="4" customWidth="1"/>
    <col min="12818" max="13060" width="9.1796875" style="4"/>
    <col min="13061" max="13073" width="10.7265625" style="4" customWidth="1"/>
    <col min="13074" max="13316" width="9.1796875" style="4"/>
    <col min="13317" max="13329" width="10.7265625" style="4" customWidth="1"/>
    <col min="13330" max="13572" width="9.1796875" style="4"/>
    <col min="13573" max="13585" width="10.7265625" style="4" customWidth="1"/>
    <col min="13586" max="13828" width="9.1796875" style="4"/>
    <col min="13829" max="13841" width="10.7265625" style="4" customWidth="1"/>
    <col min="13842" max="14084" width="9.1796875" style="4"/>
    <col min="14085" max="14097" width="10.7265625" style="4" customWidth="1"/>
    <col min="14098" max="14340" width="9.1796875" style="4"/>
    <col min="14341" max="14353" width="10.7265625" style="4" customWidth="1"/>
    <col min="14354" max="14596" width="9.1796875" style="4"/>
    <col min="14597" max="14609" width="10.7265625" style="4" customWidth="1"/>
    <col min="14610" max="14852" width="9.1796875" style="4"/>
    <col min="14853" max="14865" width="10.7265625" style="4" customWidth="1"/>
    <col min="14866" max="15108" width="9.1796875" style="4"/>
    <col min="15109" max="15121" width="10.7265625" style="4" customWidth="1"/>
    <col min="15122" max="15364" width="9.1796875" style="4"/>
    <col min="15365" max="15377" width="10.7265625" style="4" customWidth="1"/>
    <col min="15378" max="15620" width="9.1796875" style="4"/>
    <col min="15621" max="15633" width="10.7265625" style="4" customWidth="1"/>
    <col min="15634" max="15876" width="9.1796875" style="4"/>
    <col min="15877" max="15889" width="10.7265625" style="4" customWidth="1"/>
    <col min="15890" max="16132" width="9.1796875" style="4"/>
    <col min="16133" max="16145" width="10.7265625" style="4" customWidth="1"/>
    <col min="16146" max="16384" width="9.1796875" style="4"/>
  </cols>
  <sheetData>
    <row r="1" spans="1:23" ht="18">
      <c r="A1" s="416" t="s">
        <v>279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</row>
    <row r="2" spans="1:23" ht="6" customHeight="1">
      <c r="A2" s="158"/>
      <c r="B2" s="414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</row>
    <row r="3" spans="1:23" ht="16" customHeight="1">
      <c r="A3" s="187">
        <f>'3.1'!A4</f>
        <v>2025</v>
      </c>
      <c r="B3" s="422" t="s">
        <v>246</v>
      </c>
      <c r="C3" s="423"/>
      <c r="D3" s="423"/>
      <c r="E3" s="423"/>
      <c r="F3" s="423"/>
      <c r="G3" s="423"/>
      <c r="H3" s="423"/>
      <c r="I3" s="423"/>
      <c r="J3" s="424"/>
      <c r="K3" s="423" t="s">
        <v>206</v>
      </c>
      <c r="L3" s="423"/>
      <c r="M3" s="423"/>
      <c r="N3" s="423"/>
      <c r="O3" s="423"/>
      <c r="P3" s="423"/>
      <c r="Q3" s="423"/>
      <c r="R3" s="423"/>
      <c r="S3" s="423"/>
    </row>
    <row r="4" spans="1:23" ht="34.5" customHeight="1">
      <c r="A4" s="174"/>
      <c r="B4" s="411" t="s">
        <v>188</v>
      </c>
      <c r="C4" s="412"/>
      <c r="D4" s="412"/>
      <c r="E4" s="411" t="s">
        <v>189</v>
      </c>
      <c r="F4" s="412"/>
      <c r="G4" s="417"/>
      <c r="H4" s="418" t="s">
        <v>233</v>
      </c>
      <c r="I4" s="418" t="s">
        <v>185</v>
      </c>
      <c r="J4" s="420" t="s">
        <v>63</v>
      </c>
      <c r="K4" s="411" t="s">
        <v>188</v>
      </c>
      <c r="L4" s="412"/>
      <c r="M4" s="412"/>
      <c r="N4" s="411" t="s">
        <v>189</v>
      </c>
      <c r="O4" s="412"/>
      <c r="P4" s="417"/>
      <c r="Q4" s="418" t="s">
        <v>233</v>
      </c>
      <c r="R4" s="418" t="s">
        <v>185</v>
      </c>
      <c r="S4" s="418" t="s">
        <v>63</v>
      </c>
    </row>
    <row r="5" spans="1:23" ht="21">
      <c r="A5" s="175"/>
      <c r="B5" s="176" t="s">
        <v>20</v>
      </c>
      <c r="C5" s="177" t="s">
        <v>21</v>
      </c>
      <c r="D5" s="177" t="s">
        <v>187</v>
      </c>
      <c r="E5" s="176" t="s">
        <v>25</v>
      </c>
      <c r="F5" s="177" t="s">
        <v>26</v>
      </c>
      <c r="G5" s="178" t="s">
        <v>186</v>
      </c>
      <c r="H5" s="419"/>
      <c r="I5" s="419"/>
      <c r="J5" s="421"/>
      <c r="K5" s="177" t="s">
        <v>20</v>
      </c>
      <c r="L5" s="177" t="s">
        <v>21</v>
      </c>
      <c r="M5" s="177" t="s">
        <v>187</v>
      </c>
      <c r="N5" s="176" t="s">
        <v>25</v>
      </c>
      <c r="O5" s="177" t="s">
        <v>26</v>
      </c>
      <c r="P5" s="178" t="s">
        <v>186</v>
      </c>
      <c r="Q5" s="419"/>
      <c r="R5" s="419"/>
      <c r="S5" s="419"/>
    </row>
    <row r="6" spans="1:23" ht="12" customHeight="1">
      <c r="A6" s="159" t="s">
        <v>157</v>
      </c>
      <c r="B6" s="166">
        <v>473.40953888750795</v>
      </c>
      <c r="C6" s="160">
        <v>4.9845249681999999E-2</v>
      </c>
      <c r="D6" s="161">
        <v>473.35969363782596</v>
      </c>
      <c r="E6" s="172">
        <v>567.22816599999999</v>
      </c>
      <c r="F6" s="161">
        <v>1.5706849999999999</v>
      </c>
      <c r="G6" s="168">
        <v>565.65748099999996</v>
      </c>
      <c r="H6" s="161">
        <v>9.6925220000000003</v>
      </c>
      <c r="I6" s="161">
        <v>4.5866857685697031</v>
      </c>
      <c r="J6" s="168">
        <v>1044.1230108692562</v>
      </c>
      <c r="K6" s="160">
        <v>5160.1947045670004</v>
      </c>
      <c r="L6" s="160">
        <v>0.54170594849999998</v>
      </c>
      <c r="M6" s="161">
        <v>5159.6529986185005</v>
      </c>
      <c r="N6" s="172">
        <v>6149.1082729999998</v>
      </c>
      <c r="O6" s="161">
        <v>16.988989191000002</v>
      </c>
      <c r="P6" s="168">
        <v>6132.1192838090001</v>
      </c>
      <c r="Q6" s="161">
        <v>104.87397300681198</v>
      </c>
      <c r="R6" s="161">
        <v>42.88702342926338</v>
      </c>
      <c r="S6" s="161">
        <v>11353.75923200505</v>
      </c>
      <c r="T6" s="48"/>
      <c r="U6" s="57"/>
      <c r="V6" s="49"/>
      <c r="W6" s="49"/>
    </row>
    <row r="7" spans="1:23" ht="12" customHeight="1">
      <c r="A7" s="159" t="s">
        <v>158</v>
      </c>
      <c r="B7" s="166">
        <v>461.50851106068399</v>
      </c>
      <c r="C7" s="161">
        <v>62.372759322020002</v>
      </c>
      <c r="D7" s="161">
        <v>399.135751738664</v>
      </c>
      <c r="E7" s="172">
        <v>555.605772</v>
      </c>
      <c r="F7" s="161">
        <v>1.1973499999999999</v>
      </c>
      <c r="G7" s="168">
        <v>554.40842199999997</v>
      </c>
      <c r="H7" s="161">
        <v>8.8843970000000034</v>
      </c>
      <c r="I7" s="161">
        <v>0.49080389668012503</v>
      </c>
      <c r="J7" s="168">
        <v>961.93776684198394</v>
      </c>
      <c r="K7" s="160">
        <v>5035.0801466820003</v>
      </c>
      <c r="L7" s="161">
        <v>678.38693800199997</v>
      </c>
      <c r="M7" s="161">
        <v>4356.6932086800007</v>
      </c>
      <c r="N7" s="172">
        <v>6002.602331</v>
      </c>
      <c r="O7" s="161">
        <v>12.921363795</v>
      </c>
      <c r="P7" s="168">
        <v>5989.6809672050003</v>
      </c>
      <c r="Q7" s="161">
        <v>96.011818959866005</v>
      </c>
      <c r="R7" s="161">
        <v>2.7613808510527016</v>
      </c>
      <c r="S7" s="161">
        <v>10439.624613993814</v>
      </c>
      <c r="T7" s="50"/>
      <c r="U7" s="57"/>
      <c r="V7" s="49"/>
      <c r="W7" s="49"/>
    </row>
    <row r="8" spans="1:23" ht="12" customHeight="1">
      <c r="A8" s="162" t="s">
        <v>159</v>
      </c>
      <c r="B8" s="167">
        <v>552.47851596758403</v>
      </c>
      <c r="C8" s="164">
        <v>0.10006611204199999</v>
      </c>
      <c r="D8" s="164">
        <v>552.37844985554204</v>
      </c>
      <c r="E8" s="173">
        <v>188.32898499999999</v>
      </c>
      <c r="F8" s="164">
        <v>1.9775699999999998</v>
      </c>
      <c r="G8" s="169">
        <v>186.351415</v>
      </c>
      <c r="H8" s="164">
        <v>10.018378</v>
      </c>
      <c r="I8" s="164">
        <v>-2.2471659801258936</v>
      </c>
      <c r="J8" s="169">
        <v>750.99540883566783</v>
      </c>
      <c r="K8" s="163">
        <v>6047.1049407760001</v>
      </c>
      <c r="L8" s="164">
        <v>1.0863263379000001</v>
      </c>
      <c r="M8" s="164">
        <v>6046.0186144381005</v>
      </c>
      <c r="N8" s="173">
        <v>2032.3447590000001</v>
      </c>
      <c r="O8" s="164">
        <v>21.707574139000002</v>
      </c>
      <c r="P8" s="169">
        <v>2010.6371848610002</v>
      </c>
      <c r="Q8" s="164">
        <v>108.53541092456102</v>
      </c>
      <c r="R8" s="164">
        <v>-26.412949948407711</v>
      </c>
      <c r="S8" s="164">
        <v>8191.6041601720681</v>
      </c>
      <c r="T8" s="51"/>
      <c r="U8" s="57"/>
      <c r="V8" s="49"/>
      <c r="W8" s="49"/>
    </row>
    <row r="9" spans="1:23" ht="12" customHeight="1">
      <c r="A9" s="159" t="s">
        <v>160</v>
      </c>
      <c r="B9" s="166">
        <v>767.13788919740603</v>
      </c>
      <c r="C9" s="161">
        <v>6.8492235789510003</v>
      </c>
      <c r="D9" s="161">
        <v>760.28866561845507</v>
      </c>
      <c r="E9" s="172">
        <v>10.225211999999999</v>
      </c>
      <c r="F9" s="161">
        <v>282.18140500000004</v>
      </c>
      <c r="G9" s="168">
        <v>-271.95619300000004</v>
      </c>
      <c r="H9" s="161">
        <v>9.6941330000000008</v>
      </c>
      <c r="I9" s="161">
        <v>-4.8715485139379746</v>
      </c>
      <c r="J9" s="168">
        <v>502.89815413239307</v>
      </c>
      <c r="K9" s="160">
        <v>8408.567508432001</v>
      </c>
      <c r="L9" s="161">
        <v>74.794186862899991</v>
      </c>
      <c r="M9" s="161">
        <v>8333.7733215691005</v>
      </c>
      <c r="N9" s="172">
        <v>110.73178900000001</v>
      </c>
      <c r="O9" s="161">
        <v>3093.2381983699997</v>
      </c>
      <c r="P9" s="168">
        <v>-2982.5064093699998</v>
      </c>
      <c r="Q9" s="161">
        <v>105.37372499619198</v>
      </c>
      <c r="R9" s="161">
        <v>-52.67711241670046</v>
      </c>
      <c r="S9" s="161">
        <v>5509.3177496119933</v>
      </c>
      <c r="T9" s="50"/>
      <c r="U9" s="57"/>
      <c r="V9" s="49"/>
      <c r="W9" s="49"/>
    </row>
    <row r="10" spans="1:23" ht="12" customHeight="1">
      <c r="A10" s="159" t="s">
        <v>161</v>
      </c>
      <c r="B10" s="166">
        <v>766.36311755969393</v>
      </c>
      <c r="C10" s="161">
        <v>7.0807769197289998</v>
      </c>
      <c r="D10" s="161">
        <v>759.2823406399649</v>
      </c>
      <c r="E10" s="172">
        <v>12.769877000000001</v>
      </c>
      <c r="F10" s="161">
        <v>369.22932899999995</v>
      </c>
      <c r="G10" s="168">
        <v>-356.45945199999994</v>
      </c>
      <c r="H10" s="161">
        <v>9.7847979999999986</v>
      </c>
      <c r="I10" s="161">
        <v>-2.036153674209956</v>
      </c>
      <c r="J10" s="168">
        <v>414.64384031417501</v>
      </c>
      <c r="K10" s="160">
        <v>8409.8792688930007</v>
      </c>
      <c r="L10" s="161">
        <v>77.780702642000008</v>
      </c>
      <c r="M10" s="161">
        <v>8332.0985662510011</v>
      </c>
      <c r="N10" s="172">
        <v>138.924206</v>
      </c>
      <c r="O10" s="161">
        <v>4053.0901464899998</v>
      </c>
      <c r="P10" s="168">
        <v>-3914.1659404899997</v>
      </c>
      <c r="Q10" s="161">
        <v>106.432505060962</v>
      </c>
      <c r="R10" s="161">
        <v>-26.367333284029737</v>
      </c>
      <c r="S10" s="161">
        <v>4550.7324641059922</v>
      </c>
      <c r="T10" s="50"/>
      <c r="U10" s="57"/>
      <c r="V10" s="49"/>
      <c r="W10" s="49"/>
    </row>
    <row r="11" spans="1:23" ht="12" customHeight="1">
      <c r="A11" s="162" t="s">
        <v>162</v>
      </c>
      <c r="B11" s="167">
        <v>906.75012386322101</v>
      </c>
      <c r="C11" s="164">
        <v>29.763241463229999</v>
      </c>
      <c r="D11" s="164">
        <v>876.98688239999103</v>
      </c>
      <c r="E11" s="173">
        <v>0</v>
      </c>
      <c r="F11" s="164">
        <v>592.22722899999997</v>
      </c>
      <c r="G11" s="169">
        <v>-592.22722899999997</v>
      </c>
      <c r="H11" s="164">
        <v>10.004078000000003</v>
      </c>
      <c r="I11" s="164">
        <v>-4.6455599839768835</v>
      </c>
      <c r="J11" s="169">
        <v>299.40929138396797</v>
      </c>
      <c r="K11" s="163">
        <v>9907.5951579209996</v>
      </c>
      <c r="L11" s="164">
        <v>325.7922968414</v>
      </c>
      <c r="M11" s="164">
        <v>9581.8028610795991</v>
      </c>
      <c r="N11" s="173">
        <v>0</v>
      </c>
      <c r="O11" s="164">
        <v>6485.0430013330006</v>
      </c>
      <c r="P11" s="169">
        <v>-6485.0430013330006</v>
      </c>
      <c r="Q11" s="164">
        <v>108.60697381864101</v>
      </c>
      <c r="R11" s="164">
        <v>-73.744329908760264</v>
      </c>
      <c r="S11" s="164">
        <v>3279.1111634740009</v>
      </c>
      <c r="T11" s="50"/>
      <c r="U11" s="57"/>
      <c r="V11" s="49"/>
      <c r="W11" s="49"/>
    </row>
    <row r="12" spans="1:23" ht="12" customHeight="1">
      <c r="A12" s="159" t="s">
        <v>163</v>
      </c>
      <c r="B12" s="166">
        <v>1182.7619264140319</v>
      </c>
      <c r="C12" s="161">
        <v>378.84481369430699</v>
      </c>
      <c r="D12" s="161">
        <v>803.91711271972486</v>
      </c>
      <c r="E12" s="172">
        <v>0</v>
      </c>
      <c r="F12" s="161">
        <v>529.27211299999999</v>
      </c>
      <c r="G12" s="168">
        <v>-529.27211299999999</v>
      </c>
      <c r="H12" s="161">
        <v>10.678309</v>
      </c>
      <c r="I12" s="161">
        <v>-9.5717719687130298</v>
      </c>
      <c r="J12" s="168">
        <v>294.89508068843804</v>
      </c>
      <c r="K12" s="160">
        <v>13018.631750879998</v>
      </c>
      <c r="L12" s="161">
        <v>4163.0944957183001</v>
      </c>
      <c r="M12" s="161">
        <v>8855.5372551616983</v>
      </c>
      <c r="N12" s="172">
        <v>0</v>
      </c>
      <c r="O12" s="161">
        <v>5825.4399983790008</v>
      </c>
      <c r="P12" s="168">
        <v>-5825.4399983790008</v>
      </c>
      <c r="Q12" s="161">
        <v>115.64163730335302</v>
      </c>
      <c r="R12" s="161">
        <v>-94.21930536795314</v>
      </c>
      <c r="S12" s="161">
        <v>3239.9581994540044</v>
      </c>
      <c r="T12" s="50"/>
      <c r="U12" s="57"/>
      <c r="V12" s="49"/>
      <c r="W12" s="49"/>
    </row>
    <row r="13" spans="1:23" ht="12" customHeight="1">
      <c r="A13" s="159" t="s">
        <v>164</v>
      </c>
      <c r="B13" s="166">
        <v>780.41650133646408</v>
      </c>
      <c r="C13" s="161">
        <v>15.458912759427003</v>
      </c>
      <c r="D13" s="161">
        <v>764.95758857703709</v>
      </c>
      <c r="E13" s="172">
        <v>0</v>
      </c>
      <c r="F13" s="161">
        <v>512.76480400000003</v>
      </c>
      <c r="G13" s="168">
        <v>-512.76480400000003</v>
      </c>
      <c r="H13" s="161">
        <v>10.943911999999997</v>
      </c>
      <c r="I13" s="161">
        <v>-5.2804587113508603</v>
      </c>
      <c r="J13" s="168">
        <v>268.41715528838796</v>
      </c>
      <c r="K13" s="160">
        <v>8601.0031600849998</v>
      </c>
      <c r="L13" s="161">
        <v>170.3836408542</v>
      </c>
      <c r="M13" s="161">
        <v>8430.6195192308005</v>
      </c>
      <c r="N13" s="172">
        <v>0</v>
      </c>
      <c r="O13" s="161">
        <v>5652.3596719300003</v>
      </c>
      <c r="P13" s="168">
        <v>-5652.3596719300003</v>
      </c>
      <c r="Q13" s="161">
        <v>118.691358324487</v>
      </c>
      <c r="R13" s="161">
        <v>-61.163304127710873</v>
      </c>
      <c r="S13" s="161">
        <v>2958.114509752997</v>
      </c>
      <c r="T13" s="50"/>
      <c r="U13" s="57"/>
      <c r="V13" s="49"/>
      <c r="W13" s="49"/>
    </row>
    <row r="14" spans="1:23" ht="12" customHeight="1">
      <c r="A14" s="162" t="s">
        <v>165</v>
      </c>
      <c r="B14" s="167">
        <v>605.91043035048801</v>
      </c>
      <c r="C14" s="164">
        <v>26.272808084163003</v>
      </c>
      <c r="D14" s="164">
        <v>579.63762226632502</v>
      </c>
      <c r="E14" s="173">
        <v>7.0777000000000007E-2</v>
      </c>
      <c r="F14" s="164">
        <v>276.11546500000003</v>
      </c>
      <c r="G14" s="169">
        <v>-276.04468800000001</v>
      </c>
      <c r="H14" s="164">
        <v>9.5980310000000006</v>
      </c>
      <c r="I14" s="164">
        <v>-7.0743771706289262</v>
      </c>
      <c r="J14" s="169">
        <v>320.26534243695397</v>
      </c>
      <c r="K14" s="163">
        <v>6703.8957830310001</v>
      </c>
      <c r="L14" s="164">
        <v>290.07819468410003</v>
      </c>
      <c r="M14" s="164">
        <v>6413.8175883469003</v>
      </c>
      <c r="N14" s="173">
        <v>0.78239400000000003</v>
      </c>
      <c r="O14" s="164">
        <v>3053.5713932489994</v>
      </c>
      <c r="P14" s="169">
        <v>-3052.7889992489995</v>
      </c>
      <c r="Q14" s="164">
        <v>103.92335834720699</v>
      </c>
      <c r="R14" s="164">
        <v>-76.237115237901449</v>
      </c>
      <c r="S14" s="164">
        <v>3541.1890626830086</v>
      </c>
      <c r="T14" s="50"/>
      <c r="U14" s="57"/>
      <c r="V14" s="49"/>
      <c r="W14" s="49"/>
    </row>
    <row r="15" spans="1:23" ht="12" customHeight="1">
      <c r="A15" s="159" t="s">
        <v>166</v>
      </c>
      <c r="B15" s="166">
        <v>652.49983585199197</v>
      </c>
      <c r="C15" s="161">
        <v>164.63093180145299</v>
      </c>
      <c r="D15" s="161">
        <v>487.86890405053896</v>
      </c>
      <c r="E15" s="172">
        <v>125.503625</v>
      </c>
      <c r="F15" s="161">
        <v>13.949603999999999</v>
      </c>
      <c r="G15" s="168">
        <v>111.55402100000001</v>
      </c>
      <c r="H15" s="161">
        <v>10.685974000000003</v>
      </c>
      <c r="I15" s="161">
        <v>4.6191811635191549</v>
      </c>
      <c r="J15" s="168">
        <v>605.48971788701988</v>
      </c>
      <c r="K15" s="160">
        <v>7204.7737255929997</v>
      </c>
      <c r="L15" s="161">
        <v>1821.3229174316002</v>
      </c>
      <c r="M15" s="161">
        <v>5383.4508081613994</v>
      </c>
      <c r="N15" s="172">
        <v>1381.623525</v>
      </c>
      <c r="O15" s="161">
        <v>154.35693812599999</v>
      </c>
      <c r="P15" s="168">
        <v>1227.266586874</v>
      </c>
      <c r="Q15" s="161">
        <v>115.36515136402299</v>
      </c>
      <c r="R15" s="161">
        <v>34.094564124270342</v>
      </c>
      <c r="S15" s="161">
        <v>6691.9879822751518</v>
      </c>
      <c r="T15" s="50"/>
      <c r="U15" s="49"/>
      <c r="V15" s="49"/>
      <c r="W15" s="49"/>
    </row>
    <row r="16" spans="1:23" ht="12" customHeight="1">
      <c r="A16" s="159" t="s">
        <v>167</v>
      </c>
      <c r="B16" s="166">
        <v>641.22403763019497</v>
      </c>
      <c r="C16" s="161">
        <v>171.34741117028</v>
      </c>
      <c r="D16" s="161">
        <v>469.87662645991497</v>
      </c>
      <c r="E16" s="172">
        <v>325.82558200000005</v>
      </c>
      <c r="F16" s="161">
        <v>6.2219349999999993</v>
      </c>
      <c r="G16" s="168">
        <v>319.60364700000008</v>
      </c>
      <c r="H16" s="161">
        <v>10.204898</v>
      </c>
      <c r="I16" s="161">
        <v>-6.3855152784580129</v>
      </c>
      <c r="J16" s="168">
        <v>806.07068673837307</v>
      </c>
      <c r="K16" s="160">
        <v>7085.8633019940007</v>
      </c>
      <c r="L16" s="161">
        <v>1888.4806069638</v>
      </c>
      <c r="M16" s="161">
        <v>5197.3826950302009</v>
      </c>
      <c r="N16" s="172">
        <v>3580.9056419999997</v>
      </c>
      <c r="O16" s="161">
        <v>68.195393478</v>
      </c>
      <c r="P16" s="168">
        <v>3512.7102485219998</v>
      </c>
      <c r="Q16" s="161">
        <v>109.96815007175097</v>
      </c>
      <c r="R16" s="161">
        <v>-55.21468549111858</v>
      </c>
      <c r="S16" s="161">
        <v>8875.2757791150689</v>
      </c>
      <c r="T16" s="50"/>
      <c r="U16" s="49"/>
      <c r="V16" s="49"/>
      <c r="W16" s="49"/>
    </row>
    <row r="17" spans="1:23" ht="12" customHeight="1">
      <c r="A17" s="162" t="s">
        <v>168</v>
      </c>
      <c r="B17" s="167">
        <v>685.53290491335895</v>
      </c>
      <c r="C17" s="164">
        <v>433.40751943688201</v>
      </c>
      <c r="D17" s="164">
        <v>252.12538547647694</v>
      </c>
      <c r="E17" s="173">
        <v>668.26260500000001</v>
      </c>
      <c r="F17" s="164">
        <v>0.34435199999999999</v>
      </c>
      <c r="G17" s="169">
        <v>667.91825300000005</v>
      </c>
      <c r="H17" s="164">
        <v>11.238740000000002</v>
      </c>
      <c r="I17" s="164">
        <v>-7.1616453137700447</v>
      </c>
      <c r="J17" s="169">
        <v>938.444023790247</v>
      </c>
      <c r="K17" s="163">
        <v>7512.7031437120004</v>
      </c>
      <c r="L17" s="164">
        <v>4752.7075301510013</v>
      </c>
      <c r="M17" s="164">
        <v>2759.9956135609991</v>
      </c>
      <c r="N17" s="173">
        <v>7334.5513360000014</v>
      </c>
      <c r="O17" s="164">
        <v>3.7880739960000001</v>
      </c>
      <c r="P17" s="169">
        <v>7330.7632620040013</v>
      </c>
      <c r="Q17" s="164">
        <v>121.38263157135501</v>
      </c>
      <c r="R17" s="164">
        <v>-93.108233505709094</v>
      </c>
      <c r="S17" s="164">
        <v>10305.249740642063</v>
      </c>
      <c r="T17" s="50"/>
      <c r="U17" s="49"/>
      <c r="V17" s="49"/>
      <c r="W17" s="49"/>
    </row>
    <row r="18" spans="1:23" ht="12" customHeight="1">
      <c r="A18" s="159" t="s">
        <v>47</v>
      </c>
      <c r="B18" s="166">
        <f>SUM(B6:B8)</f>
        <v>1487.3965659157761</v>
      </c>
      <c r="C18" s="160">
        <f>SUM(C6:C8)</f>
        <v>62.522670683744003</v>
      </c>
      <c r="D18" s="160">
        <f>SUM(D6:D8)</f>
        <v>1424.8738952320318</v>
      </c>
      <c r="E18" s="166">
        <f t="shared" ref="E18:J18" si="0">SUM(E6:E8)</f>
        <v>1311.1629229999999</v>
      </c>
      <c r="F18" s="160">
        <f t="shared" si="0"/>
        <v>4.7456049999999994</v>
      </c>
      <c r="G18" s="170">
        <f>SUM(G6:G8)</f>
        <v>1306.417318</v>
      </c>
      <c r="H18" s="160">
        <f t="shared" si="0"/>
        <v>28.595297000000002</v>
      </c>
      <c r="I18" s="160">
        <f t="shared" si="0"/>
        <v>2.8303236851239348</v>
      </c>
      <c r="J18" s="170">
        <f t="shared" si="0"/>
        <v>2757.0561865469081</v>
      </c>
      <c r="K18" s="160">
        <f>SUM(K6:K8)</f>
        <v>16242.379792025</v>
      </c>
      <c r="L18" s="160">
        <f>SUM(L6:L8)</f>
        <v>680.01497028839992</v>
      </c>
      <c r="M18" s="160">
        <f t="shared" ref="M18:S18" si="1">SUM(M6:M8)</f>
        <v>15562.364821736603</v>
      </c>
      <c r="N18" s="166">
        <f t="shared" si="1"/>
        <v>14184.055362999999</v>
      </c>
      <c r="O18" s="160">
        <f t="shared" si="1"/>
        <v>51.617927125000001</v>
      </c>
      <c r="P18" s="170">
        <f t="shared" si="1"/>
        <v>14132.437435874999</v>
      </c>
      <c r="Q18" s="160">
        <f t="shared" si="1"/>
        <v>309.42120289123898</v>
      </c>
      <c r="R18" s="160">
        <f>SUM(R6:R8)</f>
        <v>19.235454331908368</v>
      </c>
      <c r="S18" s="160">
        <f t="shared" si="1"/>
        <v>29984.98800617093</v>
      </c>
    </row>
    <row r="19" spans="1:23" ht="12" customHeight="1">
      <c r="A19" s="159" t="s">
        <v>55</v>
      </c>
      <c r="B19" s="166">
        <f>SUM(B9:B11)</f>
        <v>2440.251130620321</v>
      </c>
      <c r="C19" s="160">
        <f>SUM(C9:C11)</f>
        <v>43.693241961909997</v>
      </c>
      <c r="D19" s="160">
        <f t="shared" ref="D19:J19" si="2">SUM(D9:D11)</f>
        <v>2396.5578886584108</v>
      </c>
      <c r="E19" s="166">
        <f t="shared" si="2"/>
        <v>22.995089</v>
      </c>
      <c r="F19" s="160">
        <f t="shared" si="2"/>
        <v>1243.6379630000001</v>
      </c>
      <c r="G19" s="170">
        <f t="shared" si="2"/>
        <v>-1220.6428740000001</v>
      </c>
      <c r="H19" s="160">
        <f t="shared" si="2"/>
        <v>29.483009000000003</v>
      </c>
      <c r="I19" s="160">
        <f t="shared" si="2"/>
        <v>-11.553262172124814</v>
      </c>
      <c r="J19" s="170">
        <f t="shared" si="2"/>
        <v>1216.9512858305361</v>
      </c>
      <c r="K19" s="160">
        <f>SUM(K9:K11)</f>
        <v>26726.041935246001</v>
      </c>
      <c r="L19" s="160">
        <f t="shared" ref="L19:S19" si="3">SUM(L9:L11)</f>
        <v>478.3671863463</v>
      </c>
      <c r="M19" s="160">
        <f t="shared" si="3"/>
        <v>26247.674748899703</v>
      </c>
      <c r="N19" s="166">
        <f t="shared" si="3"/>
        <v>249.65599500000002</v>
      </c>
      <c r="O19" s="160">
        <f>SUM(O9:O11)</f>
        <v>13631.371346193</v>
      </c>
      <c r="P19" s="170">
        <f t="shared" si="3"/>
        <v>-13381.715351193001</v>
      </c>
      <c r="Q19" s="160">
        <f t="shared" si="3"/>
        <v>320.41320387579498</v>
      </c>
      <c r="R19" s="160">
        <f t="shared" si="3"/>
        <v>-152.78877560949047</v>
      </c>
      <c r="S19" s="160">
        <f t="shared" si="3"/>
        <v>13339.161377191987</v>
      </c>
    </row>
    <row r="20" spans="1:23" ht="12" customHeight="1">
      <c r="A20" s="159" t="s">
        <v>62</v>
      </c>
      <c r="B20" s="166">
        <f>SUM(B12:B14)</f>
        <v>2569.088858100984</v>
      </c>
      <c r="C20" s="160">
        <f>SUM(C12:C14)</f>
        <v>420.57653453789698</v>
      </c>
      <c r="D20" s="160">
        <f t="shared" ref="D20:J20" si="4">SUM(D12:D14)</f>
        <v>2148.5123235630872</v>
      </c>
      <c r="E20" s="166">
        <f t="shared" si="4"/>
        <v>7.0777000000000007E-2</v>
      </c>
      <c r="F20" s="160">
        <f t="shared" si="4"/>
        <v>1318.152382</v>
      </c>
      <c r="G20" s="170">
        <f t="shared" si="4"/>
        <v>-1318.0816049999999</v>
      </c>
      <c r="H20" s="160">
        <f t="shared" si="4"/>
        <v>31.220251999999995</v>
      </c>
      <c r="I20" s="160">
        <f>SUM(I12:I14)</f>
        <v>-21.926607850692818</v>
      </c>
      <c r="J20" s="170">
        <f t="shared" si="4"/>
        <v>883.57757841377997</v>
      </c>
      <c r="K20" s="160">
        <f>SUM(K12:K14)</f>
        <v>28323.530693995996</v>
      </c>
      <c r="L20" s="160">
        <f t="shared" ref="L20:S20" si="5">SUM(L12:L14)</f>
        <v>4623.5563312566001</v>
      </c>
      <c r="M20" s="160">
        <f t="shared" si="5"/>
        <v>23699.974362739398</v>
      </c>
      <c r="N20" s="166">
        <f t="shared" si="5"/>
        <v>0.78239400000000003</v>
      </c>
      <c r="O20" s="160">
        <f t="shared" si="5"/>
        <v>14531.371063558001</v>
      </c>
      <c r="P20" s="170">
        <f t="shared" si="5"/>
        <v>-14530.588669558001</v>
      </c>
      <c r="Q20" s="160">
        <f t="shared" si="5"/>
        <v>338.25635397504703</v>
      </c>
      <c r="R20" s="160">
        <f t="shared" si="5"/>
        <v>-231.61972473356548</v>
      </c>
      <c r="S20" s="160">
        <f t="shared" si="5"/>
        <v>9739.2617718900092</v>
      </c>
    </row>
    <row r="21" spans="1:23" ht="12" customHeight="1">
      <c r="A21" s="162" t="s">
        <v>56</v>
      </c>
      <c r="B21" s="167">
        <f>SUM(B15:B17)</f>
        <v>1979.256778395546</v>
      </c>
      <c r="C21" s="163">
        <f>SUM(C15:C17)</f>
        <v>769.38586240861503</v>
      </c>
      <c r="D21" s="163">
        <f t="shared" ref="D21:J21" si="6">SUM(D15:D17)</f>
        <v>1209.8709159869309</v>
      </c>
      <c r="E21" s="167">
        <f t="shared" si="6"/>
        <v>1119.5918120000001</v>
      </c>
      <c r="F21" s="163">
        <f t="shared" si="6"/>
        <v>20.515891</v>
      </c>
      <c r="G21" s="171">
        <f t="shared" si="6"/>
        <v>1099.0759210000001</v>
      </c>
      <c r="H21" s="163">
        <f t="shared" si="6"/>
        <v>32.129612000000002</v>
      </c>
      <c r="I21" s="163">
        <f t="shared" si="6"/>
        <v>-8.9279794287089018</v>
      </c>
      <c r="J21" s="171">
        <f t="shared" si="6"/>
        <v>2350.0044284156402</v>
      </c>
      <c r="K21" s="163">
        <f>SUM(K15:K17)</f>
        <v>21803.340171299002</v>
      </c>
      <c r="L21" s="163">
        <f t="shared" ref="L21:R21" si="7">SUM(L15:L17)</f>
        <v>8462.5110545464013</v>
      </c>
      <c r="M21" s="163">
        <f t="shared" si="7"/>
        <v>13340.829116752599</v>
      </c>
      <c r="N21" s="167">
        <f t="shared" si="7"/>
        <v>12297.080503000001</v>
      </c>
      <c r="O21" s="163">
        <f t="shared" si="7"/>
        <v>226.3404056</v>
      </c>
      <c r="P21" s="171">
        <f t="shared" si="7"/>
        <v>12070.740097400001</v>
      </c>
      <c r="Q21" s="163">
        <f t="shared" si="7"/>
        <v>346.71593300712897</v>
      </c>
      <c r="R21" s="163">
        <f t="shared" si="7"/>
        <v>-114.22835487255733</v>
      </c>
      <c r="S21" s="163">
        <f>SUM(S15:S17)</f>
        <v>25872.513502032285</v>
      </c>
    </row>
    <row r="22" spans="1:23" ht="12" customHeight="1">
      <c r="A22" s="159" t="s">
        <v>57</v>
      </c>
      <c r="B22" s="166">
        <f>SUM(B6:B11)</f>
        <v>3927.6476965360971</v>
      </c>
      <c r="C22" s="160">
        <f>SUM(C6:C11)</f>
        <v>106.21591264565402</v>
      </c>
      <c r="D22" s="160">
        <f t="shared" ref="D22:J22" si="8">SUM(D6:D11)</f>
        <v>3821.4317838904426</v>
      </c>
      <c r="E22" s="166">
        <f t="shared" si="8"/>
        <v>1334.1580119999999</v>
      </c>
      <c r="F22" s="160">
        <f t="shared" si="8"/>
        <v>1248.383568</v>
      </c>
      <c r="G22" s="170">
        <f t="shared" si="8"/>
        <v>85.77444400000013</v>
      </c>
      <c r="H22" s="160">
        <f t="shared" si="8"/>
        <v>58.078306000000012</v>
      </c>
      <c r="I22" s="160">
        <f t="shared" si="8"/>
        <v>-8.7229384870008779</v>
      </c>
      <c r="J22" s="170">
        <f t="shared" si="8"/>
        <v>3974.0074723774442</v>
      </c>
      <c r="K22" s="160">
        <f>SUM(K6:K11)</f>
        <v>42968.421727271001</v>
      </c>
      <c r="L22" s="160">
        <f t="shared" ref="L22:S22" si="9">SUM(L6:L11)</f>
        <v>1158.3821566347001</v>
      </c>
      <c r="M22" s="160">
        <f t="shared" si="9"/>
        <v>41810.039570636305</v>
      </c>
      <c r="N22" s="166">
        <f t="shared" si="9"/>
        <v>14433.711357999999</v>
      </c>
      <c r="O22" s="160">
        <f t="shared" si="9"/>
        <v>13682.989273318</v>
      </c>
      <c r="P22" s="170">
        <f t="shared" si="9"/>
        <v>750.72208468199824</v>
      </c>
      <c r="Q22" s="160">
        <f t="shared" si="9"/>
        <v>629.83440676703401</v>
      </c>
      <c r="R22" s="160">
        <f t="shared" si="9"/>
        <v>-133.55332127758209</v>
      </c>
      <c r="S22" s="160">
        <f t="shared" si="9"/>
        <v>43324.149383362914</v>
      </c>
    </row>
    <row r="23" spans="1:23" ht="12" customHeight="1">
      <c r="A23" s="162" t="s">
        <v>58</v>
      </c>
      <c r="B23" s="167">
        <f>SUM(B12:B17)</f>
        <v>4548.3456364965296</v>
      </c>
      <c r="C23" s="163">
        <f>SUM(C12:C17)</f>
        <v>1189.9623969465119</v>
      </c>
      <c r="D23" s="163">
        <f t="shared" ref="D23:J23" si="10">SUM(D12:D17)</f>
        <v>3358.3832395500176</v>
      </c>
      <c r="E23" s="167">
        <f t="shared" si="10"/>
        <v>1119.662589</v>
      </c>
      <c r="F23" s="163">
        <f t="shared" si="10"/>
        <v>1338.668273</v>
      </c>
      <c r="G23" s="171">
        <f t="shared" si="10"/>
        <v>-219.00568399999975</v>
      </c>
      <c r="H23" s="163">
        <f t="shared" si="10"/>
        <v>63.349863999999997</v>
      </c>
      <c r="I23" s="163">
        <f t="shared" si="10"/>
        <v>-30.85458727940172</v>
      </c>
      <c r="J23" s="171">
        <f t="shared" si="10"/>
        <v>3233.5820068294197</v>
      </c>
      <c r="K23" s="163">
        <f>SUM(K12:K17)</f>
        <v>50126.870865295001</v>
      </c>
      <c r="L23" s="163">
        <f t="shared" ref="L23:S23" si="11">SUM(L12:L17)</f>
        <v>13086.067385803002</v>
      </c>
      <c r="M23" s="163">
        <f t="shared" si="11"/>
        <v>37040.803479491995</v>
      </c>
      <c r="N23" s="167">
        <f t="shared" si="11"/>
        <v>12297.862897000001</v>
      </c>
      <c r="O23" s="163">
        <f t="shared" si="11"/>
        <v>14757.711469158001</v>
      </c>
      <c r="P23" s="171">
        <f t="shared" si="11"/>
        <v>-2459.8485721579991</v>
      </c>
      <c r="Q23" s="163">
        <f t="shared" si="11"/>
        <v>684.972286982176</v>
      </c>
      <c r="R23" s="163">
        <f t="shared" si="11"/>
        <v>-345.84807960612284</v>
      </c>
      <c r="S23" s="163">
        <f t="shared" si="11"/>
        <v>35611.775273922292</v>
      </c>
    </row>
    <row r="24" spans="1:23" ht="12" customHeight="1">
      <c r="A24" s="165" t="s">
        <v>169</v>
      </c>
      <c r="B24" s="370">
        <f>SUM(B6:B17)</f>
        <v>8475.9933330326276</v>
      </c>
      <c r="C24" s="371">
        <f>SUM(C6:C17)</f>
        <v>1296.178309592166</v>
      </c>
      <c r="D24" s="371">
        <f t="shared" ref="D24:J24" si="12">SUM(D6:D17)</f>
        <v>7179.8150234404611</v>
      </c>
      <c r="E24" s="370">
        <f t="shared" si="12"/>
        <v>2453.8206009999999</v>
      </c>
      <c r="F24" s="371">
        <f t="shared" si="12"/>
        <v>2587.051841</v>
      </c>
      <c r="G24" s="372">
        <f t="shared" si="12"/>
        <v>-133.23123999999984</v>
      </c>
      <c r="H24" s="371">
        <f t="shared" si="12"/>
        <v>121.42817000000002</v>
      </c>
      <c r="I24" s="371">
        <f t="shared" si="12"/>
        <v>-39.577525766402594</v>
      </c>
      <c r="J24" s="372">
        <f t="shared" si="12"/>
        <v>7207.5894792068639</v>
      </c>
      <c r="K24" s="371">
        <f>SUM(K6:K17)</f>
        <v>93095.292592565995</v>
      </c>
      <c r="L24" s="371">
        <f t="shared" ref="L24:S24" si="13">SUM(L6:L17)</f>
        <v>14244.449542437702</v>
      </c>
      <c r="M24" s="371">
        <f t="shared" si="13"/>
        <v>78850.8430501283</v>
      </c>
      <c r="N24" s="370">
        <f t="shared" si="13"/>
        <v>26731.574254999996</v>
      </c>
      <c r="O24" s="371">
        <f t="shared" si="13"/>
        <v>28440.700742475998</v>
      </c>
      <c r="P24" s="372">
        <f t="shared" si="13"/>
        <v>-1709.1264874760009</v>
      </c>
      <c r="Q24" s="371">
        <f t="shared" si="13"/>
        <v>1314.8066937492099</v>
      </c>
      <c r="R24" s="371">
        <f t="shared" si="13"/>
        <v>-479.40140088370492</v>
      </c>
      <c r="S24" s="371">
        <f t="shared" si="13"/>
        <v>78935.924657285199</v>
      </c>
    </row>
    <row r="25" spans="1:23" ht="8.15" customHeight="1"/>
    <row r="26" spans="1:23" ht="13.5" customHeight="1">
      <c r="A26" s="413" t="s">
        <v>234</v>
      </c>
      <c r="B26" s="413"/>
      <c r="C26" s="413"/>
      <c r="D26" s="413"/>
      <c r="E26" s="413"/>
      <c r="F26" s="413"/>
      <c r="G26" s="413"/>
      <c r="H26" s="413"/>
      <c r="I26" s="413"/>
      <c r="J26" s="52"/>
      <c r="K26" s="413" t="s">
        <v>235</v>
      </c>
      <c r="L26" s="413"/>
      <c r="M26" s="413"/>
      <c r="N26" s="413"/>
      <c r="O26" s="413"/>
      <c r="P26" s="413"/>
      <c r="Q26" s="413"/>
      <c r="R26" s="413"/>
      <c r="S26" s="413"/>
      <c r="V26" s="361"/>
      <c r="W26" s="361"/>
    </row>
    <row r="27" spans="1:23" ht="8.15" customHeight="1">
      <c r="D27" s="53"/>
      <c r="E27" s="54" t="s">
        <v>193</v>
      </c>
      <c r="F27" s="54" t="s">
        <v>194</v>
      </c>
      <c r="G27" s="55"/>
      <c r="H27" s="55"/>
      <c r="L27" s="55"/>
      <c r="M27" s="54"/>
      <c r="N27" s="54" t="s">
        <v>195</v>
      </c>
      <c r="O27" s="53" t="s">
        <v>196</v>
      </c>
    </row>
    <row r="28" spans="1:23" ht="8.15" customHeight="1">
      <c r="D28" s="53" t="str">
        <f>A6</f>
        <v>Leden</v>
      </c>
      <c r="E28" s="54">
        <f>B6</f>
        <v>473.40953888750795</v>
      </c>
      <c r="F28" s="54">
        <f>C6*-1</f>
        <v>-4.9845249681999999E-2</v>
      </c>
      <c r="G28" s="55"/>
      <c r="L28" s="55"/>
      <c r="M28" s="54" t="str">
        <f>A6</f>
        <v>Leden</v>
      </c>
      <c r="N28" s="54">
        <f>E6</f>
        <v>567.22816599999999</v>
      </c>
      <c r="O28" s="54">
        <f>F6*-1</f>
        <v>-1.5706849999999999</v>
      </c>
    </row>
    <row r="29" spans="1:23" ht="8.15" customHeight="1">
      <c r="D29" s="53" t="str">
        <f t="shared" ref="D29:D39" si="14">A7</f>
        <v>Únor</v>
      </c>
      <c r="E29" s="54">
        <f t="shared" ref="E29:E39" si="15">B7</f>
        <v>461.50851106068399</v>
      </c>
      <c r="F29" s="54">
        <f t="shared" ref="F29:F39" si="16">C7*-1</f>
        <v>-62.372759322020002</v>
      </c>
      <c r="G29" s="55"/>
      <c r="L29" s="55"/>
      <c r="M29" s="54" t="str">
        <f t="shared" ref="M29:M39" si="17">A7</f>
        <v>Únor</v>
      </c>
      <c r="N29" s="54">
        <f t="shared" ref="N29:N39" si="18">E7</f>
        <v>555.605772</v>
      </c>
      <c r="O29" s="54">
        <f t="shared" ref="O29:O39" si="19">F7*-1</f>
        <v>-1.1973499999999999</v>
      </c>
    </row>
    <row r="30" spans="1:23" ht="8.15" customHeight="1">
      <c r="D30" s="53" t="str">
        <f t="shared" si="14"/>
        <v>Březen</v>
      </c>
      <c r="E30" s="54">
        <f t="shared" si="15"/>
        <v>552.47851596758403</v>
      </c>
      <c r="F30" s="54">
        <f t="shared" si="16"/>
        <v>-0.10006611204199999</v>
      </c>
      <c r="G30" s="55"/>
      <c r="L30" s="55"/>
      <c r="M30" s="54" t="str">
        <f t="shared" si="17"/>
        <v>Březen</v>
      </c>
      <c r="N30" s="54">
        <f t="shared" si="18"/>
        <v>188.32898499999999</v>
      </c>
      <c r="O30" s="54">
        <f t="shared" si="19"/>
        <v>-1.9775699999999998</v>
      </c>
    </row>
    <row r="31" spans="1:23" ht="8.15" customHeight="1">
      <c r="D31" s="53" t="str">
        <f t="shared" si="14"/>
        <v>Duben</v>
      </c>
      <c r="E31" s="54">
        <f t="shared" si="15"/>
        <v>767.13788919740603</v>
      </c>
      <c r="F31" s="54">
        <f t="shared" si="16"/>
        <v>-6.8492235789510003</v>
      </c>
      <c r="G31" s="55"/>
      <c r="L31" s="55"/>
      <c r="M31" s="54" t="str">
        <f t="shared" si="17"/>
        <v>Duben</v>
      </c>
      <c r="N31" s="54">
        <f t="shared" si="18"/>
        <v>10.225211999999999</v>
      </c>
      <c r="O31" s="54">
        <f t="shared" si="19"/>
        <v>-282.18140500000004</v>
      </c>
    </row>
    <row r="32" spans="1:23" ht="8.15" customHeight="1">
      <c r="D32" s="53" t="str">
        <f t="shared" si="14"/>
        <v>Květen</v>
      </c>
      <c r="E32" s="54">
        <f t="shared" si="15"/>
        <v>766.36311755969393</v>
      </c>
      <c r="F32" s="54">
        <f t="shared" si="16"/>
        <v>-7.0807769197289998</v>
      </c>
      <c r="G32" s="55"/>
      <c r="L32" s="55"/>
      <c r="M32" s="54" t="str">
        <f t="shared" si="17"/>
        <v>Květen</v>
      </c>
      <c r="N32" s="54">
        <f t="shared" si="18"/>
        <v>12.769877000000001</v>
      </c>
      <c r="O32" s="54">
        <f t="shared" si="19"/>
        <v>-369.22932899999995</v>
      </c>
    </row>
    <row r="33" spans="4:15" ht="8.15" customHeight="1">
      <c r="D33" s="53" t="str">
        <f t="shared" si="14"/>
        <v>Červen</v>
      </c>
      <c r="E33" s="54">
        <f t="shared" si="15"/>
        <v>906.75012386322101</v>
      </c>
      <c r="F33" s="54">
        <f t="shared" si="16"/>
        <v>-29.763241463229999</v>
      </c>
      <c r="G33" s="55"/>
      <c r="L33" s="55"/>
      <c r="M33" s="54" t="str">
        <f t="shared" si="17"/>
        <v>Červen</v>
      </c>
      <c r="N33" s="54">
        <f t="shared" si="18"/>
        <v>0</v>
      </c>
      <c r="O33" s="54">
        <f t="shared" si="19"/>
        <v>-592.22722899999997</v>
      </c>
    </row>
    <row r="34" spans="4:15" ht="8.15" customHeight="1">
      <c r="D34" s="53" t="str">
        <f t="shared" si="14"/>
        <v>Červenec</v>
      </c>
      <c r="E34" s="54">
        <f t="shared" si="15"/>
        <v>1182.7619264140319</v>
      </c>
      <c r="F34" s="54">
        <f t="shared" si="16"/>
        <v>-378.84481369430699</v>
      </c>
      <c r="G34" s="55"/>
      <c r="L34" s="55"/>
      <c r="M34" s="54" t="str">
        <f t="shared" si="17"/>
        <v>Červenec</v>
      </c>
      <c r="N34" s="54">
        <f t="shared" si="18"/>
        <v>0</v>
      </c>
      <c r="O34" s="54">
        <f t="shared" si="19"/>
        <v>-529.27211299999999</v>
      </c>
    </row>
    <row r="35" spans="4:15" ht="8.15" customHeight="1">
      <c r="D35" s="53" t="str">
        <f t="shared" si="14"/>
        <v>Srpen</v>
      </c>
      <c r="E35" s="54">
        <f t="shared" si="15"/>
        <v>780.41650133646408</v>
      </c>
      <c r="F35" s="54">
        <f t="shared" si="16"/>
        <v>-15.458912759427003</v>
      </c>
      <c r="G35" s="55"/>
      <c r="L35" s="55"/>
      <c r="M35" s="54" t="str">
        <f t="shared" si="17"/>
        <v>Srpen</v>
      </c>
      <c r="N35" s="54">
        <f t="shared" si="18"/>
        <v>0</v>
      </c>
      <c r="O35" s="54">
        <f t="shared" si="19"/>
        <v>-512.76480400000003</v>
      </c>
    </row>
    <row r="36" spans="4:15" ht="8.15" customHeight="1">
      <c r="D36" s="53" t="str">
        <f t="shared" si="14"/>
        <v>Září</v>
      </c>
      <c r="E36" s="54">
        <f t="shared" si="15"/>
        <v>605.91043035048801</v>
      </c>
      <c r="F36" s="54">
        <f t="shared" si="16"/>
        <v>-26.272808084163003</v>
      </c>
      <c r="G36" s="55"/>
      <c r="L36" s="55"/>
      <c r="M36" s="54" t="str">
        <f t="shared" si="17"/>
        <v>Září</v>
      </c>
      <c r="N36" s="54">
        <f t="shared" si="18"/>
        <v>7.0777000000000007E-2</v>
      </c>
      <c r="O36" s="54">
        <f t="shared" si="19"/>
        <v>-276.11546500000003</v>
      </c>
    </row>
    <row r="37" spans="4:15" ht="8.15" customHeight="1">
      <c r="D37" s="53" t="str">
        <f t="shared" si="14"/>
        <v>Říjen</v>
      </c>
      <c r="E37" s="54">
        <f t="shared" si="15"/>
        <v>652.49983585199197</v>
      </c>
      <c r="F37" s="54">
        <f t="shared" si="16"/>
        <v>-164.63093180145299</v>
      </c>
      <c r="G37" s="55"/>
      <c r="L37" s="55"/>
      <c r="M37" s="54" t="str">
        <f t="shared" si="17"/>
        <v>Říjen</v>
      </c>
      <c r="N37" s="54">
        <f t="shared" si="18"/>
        <v>125.503625</v>
      </c>
      <c r="O37" s="54">
        <f t="shared" si="19"/>
        <v>-13.949603999999999</v>
      </c>
    </row>
    <row r="38" spans="4:15" ht="8.15" customHeight="1">
      <c r="D38" s="53" t="str">
        <f t="shared" si="14"/>
        <v>Listopad</v>
      </c>
      <c r="E38" s="54">
        <f t="shared" si="15"/>
        <v>641.22403763019497</v>
      </c>
      <c r="F38" s="54">
        <f t="shared" si="16"/>
        <v>-171.34741117028</v>
      </c>
      <c r="G38" s="55"/>
      <c r="L38" s="55"/>
      <c r="M38" s="54" t="str">
        <f t="shared" si="17"/>
        <v>Listopad</v>
      </c>
      <c r="N38" s="54">
        <f t="shared" si="18"/>
        <v>325.82558200000005</v>
      </c>
      <c r="O38" s="54">
        <f t="shared" si="19"/>
        <v>-6.2219349999999993</v>
      </c>
    </row>
    <row r="39" spans="4:15" ht="8.15" customHeight="1">
      <c r="D39" s="53" t="str">
        <f t="shared" si="14"/>
        <v>Prosinec</v>
      </c>
      <c r="E39" s="54">
        <f t="shared" si="15"/>
        <v>685.53290491335895</v>
      </c>
      <c r="F39" s="54">
        <f t="shared" si="16"/>
        <v>-433.40751943688201</v>
      </c>
      <c r="M39" s="54" t="str">
        <f t="shared" si="17"/>
        <v>Prosinec</v>
      </c>
      <c r="N39" s="54">
        <f t="shared" si="18"/>
        <v>668.26260500000001</v>
      </c>
      <c r="O39" s="54">
        <f t="shared" si="19"/>
        <v>-0.34435199999999999</v>
      </c>
    </row>
    <row r="40" spans="4:15" ht="12" customHeight="1">
      <c r="M40" s="55"/>
    </row>
    <row r="41" spans="4:15" ht="12" customHeight="1"/>
    <row r="42" spans="4:15" ht="12" customHeight="1"/>
    <row r="43" spans="4:15" ht="12" customHeight="1"/>
  </sheetData>
  <mergeCells count="16">
    <mergeCell ref="K4:M4"/>
    <mergeCell ref="A26:I26"/>
    <mergeCell ref="K26:S26"/>
    <mergeCell ref="B2:S2"/>
    <mergeCell ref="A1:S1"/>
    <mergeCell ref="N4:P4"/>
    <mergeCell ref="H4:H5"/>
    <mergeCell ref="I4:I5"/>
    <mergeCell ref="J4:J5"/>
    <mergeCell ref="B3:J3"/>
    <mergeCell ref="K3:S3"/>
    <mergeCell ref="Q4:Q5"/>
    <mergeCell ref="R4:R5"/>
    <mergeCell ref="S4:S5"/>
    <mergeCell ref="B4:D4"/>
    <mergeCell ref="E4:G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20:S21 B23:S23 C22:S22 C18 E18:F18 H18:K18 M18:Q18 C19:N19 P19:S19 S18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0"/>
  <dimension ref="A1:AD56"/>
  <sheetViews>
    <sheetView showGridLines="0" topLeftCell="A19" zoomScaleNormal="100" zoomScaleSheetLayoutView="100" workbookViewId="0">
      <selection activeCell="G1" sqref="G1"/>
    </sheetView>
  </sheetViews>
  <sheetFormatPr defaultRowHeight="10"/>
  <cols>
    <col min="1" max="1" width="8.1796875" style="4" customWidth="1"/>
    <col min="2" max="3" width="7.7265625" style="4" customWidth="1"/>
    <col min="4" max="4" width="7.26953125" style="4" customWidth="1"/>
    <col min="5" max="6" width="7.7265625" style="4" customWidth="1"/>
    <col min="7" max="7" width="7.453125" style="4" customWidth="1"/>
    <col min="8" max="8" width="9.1796875" style="4" customWidth="1"/>
    <col min="9" max="12" width="7.7265625" style="4" customWidth="1"/>
    <col min="13" max="13" width="9" style="4" customWidth="1"/>
    <col min="14" max="18" width="4.7265625" style="4" customWidth="1"/>
    <col min="19" max="20" width="6.7265625" style="4" customWidth="1"/>
    <col min="21" max="259" width="9.1796875" style="4"/>
    <col min="260" max="272" width="10.7265625" style="4" customWidth="1"/>
    <col min="273" max="515" width="9.1796875" style="4"/>
    <col min="516" max="528" width="10.7265625" style="4" customWidth="1"/>
    <col min="529" max="771" width="9.1796875" style="4"/>
    <col min="772" max="784" width="10.7265625" style="4" customWidth="1"/>
    <col min="785" max="1027" width="9.1796875" style="4"/>
    <col min="1028" max="1040" width="10.7265625" style="4" customWidth="1"/>
    <col min="1041" max="1283" width="9.1796875" style="4"/>
    <col min="1284" max="1296" width="10.7265625" style="4" customWidth="1"/>
    <col min="1297" max="1539" width="9.1796875" style="4"/>
    <col min="1540" max="1552" width="10.7265625" style="4" customWidth="1"/>
    <col min="1553" max="1795" width="9.1796875" style="4"/>
    <col min="1796" max="1808" width="10.7265625" style="4" customWidth="1"/>
    <col min="1809" max="2051" width="9.1796875" style="4"/>
    <col min="2052" max="2064" width="10.7265625" style="4" customWidth="1"/>
    <col min="2065" max="2307" width="9.1796875" style="4"/>
    <col min="2308" max="2320" width="10.7265625" style="4" customWidth="1"/>
    <col min="2321" max="2563" width="9.1796875" style="4"/>
    <col min="2564" max="2576" width="10.7265625" style="4" customWidth="1"/>
    <col min="2577" max="2819" width="9.1796875" style="4"/>
    <col min="2820" max="2832" width="10.7265625" style="4" customWidth="1"/>
    <col min="2833" max="3075" width="9.1796875" style="4"/>
    <col min="3076" max="3088" width="10.7265625" style="4" customWidth="1"/>
    <col min="3089" max="3331" width="9.1796875" style="4"/>
    <col min="3332" max="3344" width="10.7265625" style="4" customWidth="1"/>
    <col min="3345" max="3587" width="9.1796875" style="4"/>
    <col min="3588" max="3600" width="10.7265625" style="4" customWidth="1"/>
    <col min="3601" max="3843" width="9.1796875" style="4"/>
    <col min="3844" max="3856" width="10.7265625" style="4" customWidth="1"/>
    <col min="3857" max="4099" width="9.1796875" style="4"/>
    <col min="4100" max="4112" width="10.7265625" style="4" customWidth="1"/>
    <col min="4113" max="4355" width="9.1796875" style="4"/>
    <col min="4356" max="4368" width="10.7265625" style="4" customWidth="1"/>
    <col min="4369" max="4611" width="9.1796875" style="4"/>
    <col min="4612" max="4624" width="10.7265625" style="4" customWidth="1"/>
    <col min="4625" max="4867" width="9.1796875" style="4"/>
    <col min="4868" max="4880" width="10.7265625" style="4" customWidth="1"/>
    <col min="4881" max="5123" width="9.1796875" style="4"/>
    <col min="5124" max="5136" width="10.7265625" style="4" customWidth="1"/>
    <col min="5137" max="5379" width="9.1796875" style="4"/>
    <col min="5380" max="5392" width="10.7265625" style="4" customWidth="1"/>
    <col min="5393" max="5635" width="9.1796875" style="4"/>
    <col min="5636" max="5648" width="10.7265625" style="4" customWidth="1"/>
    <col min="5649" max="5891" width="9.1796875" style="4"/>
    <col min="5892" max="5904" width="10.7265625" style="4" customWidth="1"/>
    <col min="5905" max="6147" width="9.1796875" style="4"/>
    <col min="6148" max="6160" width="10.7265625" style="4" customWidth="1"/>
    <col min="6161" max="6403" width="9.1796875" style="4"/>
    <col min="6404" max="6416" width="10.7265625" style="4" customWidth="1"/>
    <col min="6417" max="6659" width="9.1796875" style="4"/>
    <col min="6660" max="6672" width="10.7265625" style="4" customWidth="1"/>
    <col min="6673" max="6915" width="9.1796875" style="4"/>
    <col min="6916" max="6928" width="10.7265625" style="4" customWidth="1"/>
    <col min="6929" max="7171" width="9.1796875" style="4"/>
    <col min="7172" max="7184" width="10.7265625" style="4" customWidth="1"/>
    <col min="7185" max="7427" width="9.1796875" style="4"/>
    <col min="7428" max="7440" width="10.7265625" style="4" customWidth="1"/>
    <col min="7441" max="7683" width="9.1796875" style="4"/>
    <col min="7684" max="7696" width="10.7265625" style="4" customWidth="1"/>
    <col min="7697" max="7939" width="9.1796875" style="4"/>
    <col min="7940" max="7952" width="10.7265625" style="4" customWidth="1"/>
    <col min="7953" max="8195" width="9.1796875" style="4"/>
    <col min="8196" max="8208" width="10.7265625" style="4" customWidth="1"/>
    <col min="8209" max="8451" width="9.1796875" style="4"/>
    <col min="8452" max="8464" width="10.7265625" style="4" customWidth="1"/>
    <col min="8465" max="8707" width="9.1796875" style="4"/>
    <col min="8708" max="8720" width="10.7265625" style="4" customWidth="1"/>
    <col min="8721" max="8963" width="9.1796875" style="4"/>
    <col min="8964" max="8976" width="10.7265625" style="4" customWidth="1"/>
    <col min="8977" max="9219" width="9.1796875" style="4"/>
    <col min="9220" max="9232" width="10.7265625" style="4" customWidth="1"/>
    <col min="9233" max="9475" width="9.1796875" style="4"/>
    <col min="9476" max="9488" width="10.7265625" style="4" customWidth="1"/>
    <col min="9489" max="9731" width="9.1796875" style="4"/>
    <col min="9732" max="9744" width="10.7265625" style="4" customWidth="1"/>
    <col min="9745" max="9987" width="9.1796875" style="4"/>
    <col min="9988" max="10000" width="10.7265625" style="4" customWidth="1"/>
    <col min="10001" max="10243" width="9.1796875" style="4"/>
    <col min="10244" max="10256" width="10.7265625" style="4" customWidth="1"/>
    <col min="10257" max="10499" width="9.1796875" style="4"/>
    <col min="10500" max="10512" width="10.7265625" style="4" customWidth="1"/>
    <col min="10513" max="10755" width="9.1796875" style="4"/>
    <col min="10756" max="10768" width="10.7265625" style="4" customWidth="1"/>
    <col min="10769" max="11011" width="9.1796875" style="4"/>
    <col min="11012" max="11024" width="10.7265625" style="4" customWidth="1"/>
    <col min="11025" max="11267" width="9.1796875" style="4"/>
    <col min="11268" max="11280" width="10.7265625" style="4" customWidth="1"/>
    <col min="11281" max="11523" width="9.1796875" style="4"/>
    <col min="11524" max="11536" width="10.7265625" style="4" customWidth="1"/>
    <col min="11537" max="11779" width="9.1796875" style="4"/>
    <col min="11780" max="11792" width="10.7265625" style="4" customWidth="1"/>
    <col min="11793" max="12035" width="9.1796875" style="4"/>
    <col min="12036" max="12048" width="10.7265625" style="4" customWidth="1"/>
    <col min="12049" max="12291" width="9.1796875" style="4"/>
    <col min="12292" max="12304" width="10.7265625" style="4" customWidth="1"/>
    <col min="12305" max="12547" width="9.1796875" style="4"/>
    <col min="12548" max="12560" width="10.7265625" style="4" customWidth="1"/>
    <col min="12561" max="12803" width="9.1796875" style="4"/>
    <col min="12804" max="12816" width="10.7265625" style="4" customWidth="1"/>
    <col min="12817" max="13059" width="9.1796875" style="4"/>
    <col min="13060" max="13072" width="10.7265625" style="4" customWidth="1"/>
    <col min="13073" max="13315" width="9.1796875" style="4"/>
    <col min="13316" max="13328" width="10.7265625" style="4" customWidth="1"/>
    <col min="13329" max="13571" width="9.1796875" style="4"/>
    <col min="13572" max="13584" width="10.7265625" style="4" customWidth="1"/>
    <col min="13585" max="13827" width="9.1796875" style="4"/>
    <col min="13828" max="13840" width="10.7265625" style="4" customWidth="1"/>
    <col min="13841" max="14083" width="9.1796875" style="4"/>
    <col min="14084" max="14096" width="10.7265625" style="4" customWidth="1"/>
    <col min="14097" max="14339" width="9.1796875" style="4"/>
    <col min="14340" max="14352" width="10.7265625" style="4" customWidth="1"/>
    <col min="14353" max="14595" width="9.1796875" style="4"/>
    <col min="14596" max="14608" width="10.7265625" style="4" customWidth="1"/>
    <col min="14609" max="14851" width="9.1796875" style="4"/>
    <col min="14852" max="14864" width="10.7265625" style="4" customWidth="1"/>
    <col min="14865" max="15107" width="9.1796875" style="4"/>
    <col min="15108" max="15120" width="10.7265625" style="4" customWidth="1"/>
    <col min="15121" max="15363" width="9.1796875" style="4"/>
    <col min="15364" max="15376" width="10.7265625" style="4" customWidth="1"/>
    <col min="15377" max="15619" width="9.1796875" style="4"/>
    <col min="15620" max="15632" width="10.7265625" style="4" customWidth="1"/>
    <col min="15633" max="15875" width="9.1796875" style="4"/>
    <col min="15876" max="15888" width="10.7265625" style="4" customWidth="1"/>
    <col min="15889" max="16131" width="9.1796875" style="4"/>
    <col min="16132" max="16144" width="10.7265625" style="4" customWidth="1"/>
    <col min="16145" max="16384" width="9.1796875" style="4"/>
  </cols>
  <sheetData>
    <row r="1" spans="1:30" ht="20">
      <c r="A1" s="38" t="s">
        <v>274</v>
      </c>
    </row>
    <row r="2" spans="1:30" ht="18">
      <c r="A2" s="347" t="s">
        <v>280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30" ht="6" customHeight="1">
      <c r="A3" s="188"/>
      <c r="B3" s="189"/>
      <c r="C3" s="189"/>
      <c r="D3" s="189"/>
      <c r="E3" s="189"/>
      <c r="F3" s="189"/>
      <c r="G3" s="189"/>
      <c r="H3" s="189"/>
      <c r="I3" s="189"/>
      <c r="J3" s="189"/>
      <c r="K3" s="190"/>
      <c r="L3" s="189"/>
      <c r="M3" s="189"/>
      <c r="N3" s="189"/>
      <c r="O3" s="189"/>
      <c r="P3" s="189"/>
      <c r="Q3" s="189"/>
      <c r="R3" s="189"/>
    </row>
    <row r="4" spans="1:30" ht="16" customHeight="1">
      <c r="A4" s="187">
        <f>'3.1'!A4</f>
        <v>2025</v>
      </c>
      <c r="B4" s="422" t="s">
        <v>246</v>
      </c>
      <c r="C4" s="425"/>
      <c r="D4" s="425"/>
      <c r="E4" s="425"/>
      <c r="F4" s="425"/>
      <c r="G4" s="425"/>
      <c r="H4" s="424"/>
      <c r="I4" s="422" t="s">
        <v>206</v>
      </c>
      <c r="J4" s="425"/>
      <c r="K4" s="425"/>
      <c r="L4" s="425"/>
      <c r="M4" s="425"/>
      <c r="N4" s="422" t="s">
        <v>218</v>
      </c>
      <c r="O4" s="425"/>
      <c r="P4" s="425"/>
      <c r="Q4" s="425"/>
      <c r="R4" s="424"/>
      <c r="S4" s="210" t="s">
        <v>246</v>
      </c>
      <c r="T4" s="210" t="s">
        <v>206</v>
      </c>
    </row>
    <row r="5" spans="1:30" ht="36.75" customHeight="1">
      <c r="A5" s="199"/>
      <c r="B5" s="426" t="s">
        <v>152</v>
      </c>
      <c r="C5" s="419"/>
      <c r="D5" s="419"/>
      <c r="E5" s="419" t="s">
        <v>153</v>
      </c>
      <c r="F5" s="419"/>
      <c r="G5" s="419"/>
      <c r="H5" s="180" t="s">
        <v>150</v>
      </c>
      <c r="I5" s="426" t="s">
        <v>152</v>
      </c>
      <c r="J5" s="419"/>
      <c r="K5" s="419" t="s">
        <v>153</v>
      </c>
      <c r="L5" s="419"/>
      <c r="M5" s="179" t="s">
        <v>150</v>
      </c>
      <c r="N5" s="426" t="s">
        <v>249</v>
      </c>
      <c r="O5" s="419"/>
      <c r="P5" s="419"/>
      <c r="Q5" s="419"/>
      <c r="R5" s="421"/>
      <c r="S5" s="418" t="s">
        <v>151</v>
      </c>
      <c r="T5" s="418"/>
    </row>
    <row r="6" spans="1:30" ht="44.25" customHeight="1">
      <c r="A6" s="206"/>
      <c r="B6" s="212">
        <f>A4</f>
        <v>2025</v>
      </c>
      <c r="C6" s="213">
        <f>B6-1</f>
        <v>2024</v>
      </c>
      <c r="D6" s="177" t="s">
        <v>250</v>
      </c>
      <c r="E6" s="213">
        <f>B6</f>
        <v>2025</v>
      </c>
      <c r="F6" s="213">
        <f>C6</f>
        <v>2024</v>
      </c>
      <c r="G6" s="177" t="s">
        <v>251</v>
      </c>
      <c r="H6" s="214">
        <f>B6</f>
        <v>2025</v>
      </c>
      <c r="I6" s="212">
        <f>B6</f>
        <v>2025</v>
      </c>
      <c r="J6" s="213">
        <f>C6</f>
        <v>2024</v>
      </c>
      <c r="K6" s="213">
        <f>B6</f>
        <v>2025</v>
      </c>
      <c r="L6" s="213">
        <f>C6</f>
        <v>2024</v>
      </c>
      <c r="M6" s="213">
        <f>B6</f>
        <v>2025</v>
      </c>
      <c r="N6" s="207" t="s">
        <v>320</v>
      </c>
      <c r="O6" s="208" t="s">
        <v>321</v>
      </c>
      <c r="P6" s="208" t="s">
        <v>322</v>
      </c>
      <c r="Q6" s="208" t="s">
        <v>323</v>
      </c>
      <c r="R6" s="209" t="s">
        <v>324</v>
      </c>
      <c r="S6" s="419"/>
      <c r="T6" s="419"/>
    </row>
    <row r="7" spans="1:30" ht="12" customHeight="1">
      <c r="A7" s="159" t="s">
        <v>157</v>
      </c>
      <c r="B7" s="166">
        <v>1044.1231458692557</v>
      </c>
      <c r="C7" s="160">
        <v>1051.8346482870036</v>
      </c>
      <c r="D7" s="193">
        <v>-7.3314778423649073E-3</v>
      </c>
      <c r="E7" s="161">
        <v>1108.1088840000853</v>
      </c>
      <c r="F7" s="161">
        <v>1084.9418330813419</v>
      </c>
      <c r="G7" s="193">
        <v>2.1353265412346265E-2</v>
      </c>
      <c r="H7" s="168">
        <v>1080.0000000000002</v>
      </c>
      <c r="I7" s="172">
        <v>11353.759200005048</v>
      </c>
      <c r="J7" s="161">
        <v>11462.560158922945</v>
      </c>
      <c r="K7" s="161">
        <v>12049.537917147853</v>
      </c>
      <c r="L7" s="160">
        <v>11823.352020852137</v>
      </c>
      <c r="M7" s="160">
        <v>11770.000000000005</v>
      </c>
      <c r="N7" s="166">
        <v>0.45806774193548383</v>
      </c>
      <c r="O7" s="160">
        <v>5.0999999999999996</v>
      </c>
      <c r="P7" s="160">
        <v>-3.7</v>
      </c>
      <c r="Q7" s="160">
        <v>-1.1741935483870967</v>
      </c>
      <c r="R7" s="170">
        <v>1.6322612903225804</v>
      </c>
      <c r="S7" s="191">
        <v>74.632251224182681</v>
      </c>
      <c r="T7" s="191">
        <v>813.63618399999984</v>
      </c>
      <c r="U7" s="49"/>
      <c r="V7" s="364"/>
      <c r="W7" s="364"/>
      <c r="X7" s="364"/>
      <c r="Y7" s="364"/>
      <c r="Z7" s="364"/>
      <c r="AA7" s="364"/>
      <c r="AB7" s="364"/>
      <c r="AC7" s="364"/>
      <c r="AD7" s="364"/>
    </row>
    <row r="8" spans="1:30" ht="12" customHeight="1">
      <c r="A8" s="159" t="s">
        <v>158</v>
      </c>
      <c r="B8" s="166">
        <v>961.93776684198417</v>
      </c>
      <c r="C8" s="161">
        <v>707.92619800240516</v>
      </c>
      <c r="D8" s="193">
        <v>0.35881080479340588</v>
      </c>
      <c r="E8" s="161">
        <v>932.91698346401404</v>
      </c>
      <c r="F8" s="161">
        <v>882.93409012381642</v>
      </c>
      <c r="G8" s="193">
        <v>5.6609993768830892E-2</v>
      </c>
      <c r="H8" s="168">
        <v>869.99999999999977</v>
      </c>
      <c r="I8" s="172">
        <v>10439.624613993816</v>
      </c>
      <c r="J8" s="161">
        <v>7710.9116847610421</v>
      </c>
      <c r="K8" s="161">
        <v>10124.670679432467</v>
      </c>
      <c r="L8" s="160">
        <v>9617.1408770625312</v>
      </c>
      <c r="M8" s="160">
        <v>9480</v>
      </c>
      <c r="N8" s="172">
        <v>-0.79639285714285712</v>
      </c>
      <c r="O8" s="161">
        <v>4.7</v>
      </c>
      <c r="P8" s="161">
        <v>-6.8</v>
      </c>
      <c r="Q8" s="161">
        <v>0.26896551724137935</v>
      </c>
      <c r="R8" s="170">
        <v>-1.0653583743842365</v>
      </c>
      <c r="S8" s="191">
        <v>69.118859318814089</v>
      </c>
      <c r="T8" s="191">
        <v>755.02336600000012</v>
      </c>
      <c r="U8" s="49"/>
      <c r="V8" s="364"/>
      <c r="W8" s="364"/>
      <c r="X8" s="364"/>
      <c r="Y8" s="364"/>
      <c r="Z8" s="364"/>
      <c r="AA8" s="364"/>
      <c r="AB8" s="364"/>
      <c r="AC8" s="364"/>
      <c r="AD8" s="364"/>
    </row>
    <row r="9" spans="1:30" ht="12" customHeight="1">
      <c r="A9" s="162" t="s">
        <v>159</v>
      </c>
      <c r="B9" s="167">
        <v>750.99543483566788</v>
      </c>
      <c r="C9" s="164">
        <v>654.98160796707873</v>
      </c>
      <c r="D9" s="196">
        <v>0.146590111387395</v>
      </c>
      <c r="E9" s="164">
        <v>810.13775562788601</v>
      </c>
      <c r="F9" s="164">
        <v>785.91423041470773</v>
      </c>
      <c r="G9" s="196">
        <v>3.0822097724832027E-2</v>
      </c>
      <c r="H9" s="169">
        <v>779.99999999999989</v>
      </c>
      <c r="I9" s="173">
        <v>8191.6041601720672</v>
      </c>
      <c r="J9" s="164">
        <v>7124.8621737359454</v>
      </c>
      <c r="K9" s="164">
        <v>8836.7085890022845</v>
      </c>
      <c r="L9" s="163">
        <v>8549.1420969586725</v>
      </c>
      <c r="M9" s="171">
        <v>8499.9999999999964</v>
      </c>
      <c r="N9" s="173">
        <v>5.258064516129032</v>
      </c>
      <c r="O9" s="164">
        <v>9.4</v>
      </c>
      <c r="P9" s="164">
        <v>-1.3</v>
      </c>
      <c r="Q9" s="164">
        <v>3.4870967741935481</v>
      </c>
      <c r="R9" s="171">
        <v>1.7709677419354839</v>
      </c>
      <c r="S9" s="197">
        <v>58.808681437618873</v>
      </c>
      <c r="T9" s="197">
        <v>644.44721699999991</v>
      </c>
      <c r="U9" s="49"/>
      <c r="V9" s="364"/>
      <c r="W9" s="364"/>
      <c r="X9" s="364"/>
      <c r="Y9" s="364"/>
      <c r="Z9" s="364"/>
      <c r="AA9" s="364"/>
      <c r="AB9" s="364"/>
      <c r="AC9" s="364"/>
      <c r="AD9" s="364"/>
    </row>
    <row r="10" spans="1:30" ht="12" customHeight="1">
      <c r="A10" s="159" t="s">
        <v>160</v>
      </c>
      <c r="B10" s="166">
        <v>502.89818413239283</v>
      </c>
      <c r="C10" s="161">
        <v>474.77912780330303</v>
      </c>
      <c r="D10" s="193">
        <v>5.9225552856947174E-2</v>
      </c>
      <c r="E10" s="161">
        <v>557.38442108344702</v>
      </c>
      <c r="F10" s="161">
        <v>523.41122942256436</v>
      </c>
      <c r="G10" s="193">
        <v>6.4907265551720064E-2</v>
      </c>
      <c r="H10" s="168">
        <v>519.99999999999977</v>
      </c>
      <c r="I10" s="172">
        <v>5509.3177196119941</v>
      </c>
      <c r="J10" s="161">
        <v>5171.8313923864735</v>
      </c>
      <c r="K10" s="161">
        <v>6106.2218250171445</v>
      </c>
      <c r="L10" s="160">
        <v>5701.5906363503454</v>
      </c>
      <c r="M10" s="160">
        <v>5670</v>
      </c>
      <c r="N10" s="166">
        <v>10.493333333333334</v>
      </c>
      <c r="O10" s="160">
        <v>19</v>
      </c>
      <c r="P10" s="160">
        <v>0.6</v>
      </c>
      <c r="Q10" s="160">
        <v>8.6933333333333316</v>
      </c>
      <c r="R10" s="170">
        <v>1.8000000000000025</v>
      </c>
      <c r="S10" s="191">
        <v>52.507407114482398</v>
      </c>
      <c r="T10" s="191">
        <v>574.8987709999999</v>
      </c>
      <c r="U10" s="49"/>
      <c r="V10" s="60"/>
      <c r="X10" s="364"/>
      <c r="Y10" s="364"/>
    </row>
    <row r="11" spans="1:30" ht="12" customHeight="1">
      <c r="A11" s="159" t="s">
        <v>161</v>
      </c>
      <c r="B11" s="166">
        <v>414.64388831417494</v>
      </c>
      <c r="C11" s="161">
        <v>326.60808830236601</v>
      </c>
      <c r="D11" s="193">
        <v>0.26954568231729609</v>
      </c>
      <c r="E11" s="161">
        <v>381.56750196106975</v>
      </c>
      <c r="F11" s="161">
        <v>348.27310518579651</v>
      </c>
      <c r="G11" s="193">
        <v>9.5598529658244405E-2</v>
      </c>
      <c r="H11" s="168">
        <v>350.00000000000011</v>
      </c>
      <c r="I11" s="172">
        <v>4550.7326011059922</v>
      </c>
      <c r="J11" s="161">
        <v>3574.8436333030163</v>
      </c>
      <c r="K11" s="161">
        <v>4187.7179903858578</v>
      </c>
      <c r="L11" s="160">
        <v>3811.9743620998324</v>
      </c>
      <c r="M11" s="160">
        <v>3810.0000000000018</v>
      </c>
      <c r="N11" s="172">
        <v>11.441935483870969</v>
      </c>
      <c r="O11" s="161">
        <v>18.7</v>
      </c>
      <c r="P11" s="161">
        <v>7.1</v>
      </c>
      <c r="Q11" s="161">
        <v>13.409677419354839</v>
      </c>
      <c r="R11" s="170">
        <v>-1.9677419354838701</v>
      </c>
      <c r="S11" s="191">
        <v>44.205435608647733</v>
      </c>
      <c r="T11" s="191">
        <v>485.04611600000004</v>
      </c>
      <c r="U11" s="49"/>
      <c r="V11" s="60"/>
      <c r="X11" s="364"/>
      <c r="Y11" s="364"/>
    </row>
    <row r="12" spans="1:30" ht="12" customHeight="1">
      <c r="A12" s="162" t="s">
        <v>162</v>
      </c>
      <c r="B12" s="167">
        <v>299.40920238396802</v>
      </c>
      <c r="C12" s="164">
        <v>294.06973836146796</v>
      </c>
      <c r="D12" s="196">
        <v>1.8157135284477467E-2</v>
      </c>
      <c r="E12" s="164">
        <v>303.1602252985378</v>
      </c>
      <c r="F12" s="164">
        <v>299.57001871686651</v>
      </c>
      <c r="G12" s="196">
        <v>1.1984532354235704E-2</v>
      </c>
      <c r="H12" s="169">
        <v>300</v>
      </c>
      <c r="I12" s="173">
        <v>3279.1111794740009</v>
      </c>
      <c r="J12" s="164">
        <v>3210.9659700298416</v>
      </c>
      <c r="K12" s="164">
        <v>3320.1921518545864</v>
      </c>
      <c r="L12" s="163">
        <v>3271.0234666013662</v>
      </c>
      <c r="M12" s="171">
        <v>3270</v>
      </c>
      <c r="N12" s="173">
        <v>18.329999999999998</v>
      </c>
      <c r="O12" s="164">
        <v>23.5</v>
      </c>
      <c r="P12" s="164">
        <v>11.9</v>
      </c>
      <c r="Q12" s="164">
        <v>17</v>
      </c>
      <c r="R12" s="171">
        <v>1.3299999999999983</v>
      </c>
      <c r="S12" s="197">
        <v>35.001613004283222</v>
      </c>
      <c r="T12" s="197">
        <v>382.843568</v>
      </c>
      <c r="U12" s="58"/>
      <c r="V12" s="60"/>
    </row>
    <row r="13" spans="1:30" ht="12" customHeight="1">
      <c r="A13" s="159" t="s">
        <v>163</v>
      </c>
      <c r="B13" s="166">
        <v>294.89504768843807</v>
      </c>
      <c r="C13" s="161">
        <v>269.85842491569701</v>
      </c>
      <c r="D13" s="193">
        <v>9.2776880249569468E-2</v>
      </c>
      <c r="E13" s="161">
        <v>293.56246588155869</v>
      </c>
      <c r="F13" s="161">
        <v>276.58693408234461</v>
      </c>
      <c r="G13" s="193">
        <v>6.1375031526833365E-2</v>
      </c>
      <c r="H13" s="168">
        <v>280.00000000000006</v>
      </c>
      <c r="I13" s="172">
        <v>3239.9582034540026</v>
      </c>
      <c r="J13" s="161">
        <v>2945.6406820407369</v>
      </c>
      <c r="K13" s="161">
        <v>3225.3173697376833</v>
      </c>
      <c r="L13" s="160">
        <v>3019.0923540161284</v>
      </c>
      <c r="M13" s="160">
        <v>3050.0000000000018</v>
      </c>
      <c r="N13" s="166">
        <v>18.161290322580648</v>
      </c>
      <c r="O13" s="160">
        <v>24.2</v>
      </c>
      <c r="P13" s="160">
        <v>13.5</v>
      </c>
      <c r="Q13" s="160">
        <v>18.674193548387095</v>
      </c>
      <c r="R13" s="170">
        <v>-0.51290322580644698</v>
      </c>
      <c r="S13" s="191">
        <v>44.105077277377497</v>
      </c>
      <c r="T13" s="191">
        <v>484.98184600000002</v>
      </c>
      <c r="U13" s="49"/>
      <c r="V13" s="60"/>
    </row>
    <row r="14" spans="1:30" ht="12" customHeight="1">
      <c r="A14" s="159" t="s">
        <v>164</v>
      </c>
      <c r="B14" s="166">
        <v>268.41715528838796</v>
      </c>
      <c r="C14" s="161">
        <v>280.152276871325</v>
      </c>
      <c r="D14" s="193">
        <v>-4.1888367690572172E-2</v>
      </c>
      <c r="E14" s="161">
        <v>267.8776735482196</v>
      </c>
      <c r="F14" s="161">
        <v>288.50439631378231</v>
      </c>
      <c r="G14" s="193">
        <v>-7.1495349911856201E-2</v>
      </c>
      <c r="H14" s="168">
        <v>289.99999999999994</v>
      </c>
      <c r="I14" s="172">
        <v>2958.1145037529973</v>
      </c>
      <c r="J14" s="161">
        <v>3061.2902789560067</v>
      </c>
      <c r="K14" s="161">
        <v>2952.16909851842</v>
      </c>
      <c r="L14" s="160">
        <v>3152.5560202128668</v>
      </c>
      <c r="M14" s="160">
        <v>3160.0000000000014</v>
      </c>
      <c r="N14" s="172">
        <v>17.899999999999999</v>
      </c>
      <c r="O14" s="161">
        <v>24.7</v>
      </c>
      <c r="P14" s="161">
        <v>11.9</v>
      </c>
      <c r="Q14" s="161">
        <v>18.203225806451616</v>
      </c>
      <c r="R14" s="170">
        <v>-0.30322580645161779</v>
      </c>
      <c r="S14" s="191">
        <v>21.956492783828448</v>
      </c>
      <c r="T14" s="191">
        <v>242.67920699999996</v>
      </c>
      <c r="U14" s="49"/>
      <c r="V14" s="60"/>
    </row>
    <row r="15" spans="1:30" ht="12" customHeight="1">
      <c r="A15" s="162" t="s">
        <v>165</v>
      </c>
      <c r="B15" s="167">
        <v>320.26533562107511</v>
      </c>
      <c r="C15" s="164">
        <v>336.54445143811495</v>
      </c>
      <c r="D15" s="196">
        <v>-4.8371368915684831E-2</v>
      </c>
      <c r="E15" s="164">
        <v>329.02307469110218</v>
      </c>
      <c r="F15" s="164">
        <v>361.93390634522927</v>
      </c>
      <c r="G15" s="196">
        <v>-9.0930501611350065E-2</v>
      </c>
      <c r="H15" s="169">
        <v>350.00000000000006</v>
      </c>
      <c r="I15" s="173">
        <v>3541.1890626830073</v>
      </c>
      <c r="J15" s="164">
        <v>3683.2365194460099</v>
      </c>
      <c r="K15" s="164">
        <v>3638.02380050585</v>
      </c>
      <c r="L15" s="163">
        <v>3961.111760836397</v>
      </c>
      <c r="M15" s="163">
        <v>3810</v>
      </c>
      <c r="N15" s="173">
        <v>14.100000000000001</v>
      </c>
      <c r="O15" s="164">
        <v>19.8</v>
      </c>
      <c r="P15" s="164">
        <v>6.3</v>
      </c>
      <c r="Q15" s="164">
        <v>13.360000000000001</v>
      </c>
      <c r="R15" s="171">
        <v>0.74000000000000021</v>
      </c>
      <c r="S15" s="197">
        <v>16.996146981954851</v>
      </c>
      <c r="T15" s="197">
        <v>188.04283699999999</v>
      </c>
      <c r="U15" s="49"/>
      <c r="V15" s="60"/>
    </row>
    <row r="16" spans="1:30" ht="12" customHeight="1">
      <c r="A16" s="159" t="s">
        <v>166</v>
      </c>
      <c r="B16" s="166">
        <v>605.48971788701988</v>
      </c>
      <c r="C16" s="161">
        <v>555.18171762775808</v>
      </c>
      <c r="D16" s="193">
        <v>9.0615376302777759E-2</v>
      </c>
      <c r="E16" s="161">
        <v>595.24201444708933</v>
      </c>
      <c r="F16" s="161">
        <v>593.36219588806307</v>
      </c>
      <c r="G16" s="193">
        <v>3.1680794160012294E-3</v>
      </c>
      <c r="H16" s="168">
        <v>560.00000000000011</v>
      </c>
      <c r="I16" s="172">
        <v>6691.9879822751527</v>
      </c>
      <c r="J16" s="161">
        <v>6079.5931446342929</v>
      </c>
      <c r="K16" s="161">
        <v>6578.7284070254682</v>
      </c>
      <c r="L16" s="160">
        <v>6497.6948915138755</v>
      </c>
      <c r="M16" s="160">
        <v>6100.0000000000036</v>
      </c>
      <c r="N16" s="166">
        <v>8.1129032258064484</v>
      </c>
      <c r="O16" s="160">
        <v>11.7</v>
      </c>
      <c r="P16" s="160">
        <v>3.7</v>
      </c>
      <c r="Q16" s="160">
        <v>8.6774193548387117</v>
      </c>
      <c r="R16" s="170">
        <v>-0.56451612903226334</v>
      </c>
      <c r="S16" s="191">
        <v>29.314000916461069</v>
      </c>
      <c r="T16" s="191">
        <v>323.602082</v>
      </c>
      <c r="U16" s="49"/>
      <c r="V16" s="60"/>
    </row>
    <row r="17" spans="1:22" ht="12" customHeight="1">
      <c r="A17" s="159" t="s">
        <v>167</v>
      </c>
      <c r="B17" s="166">
        <v>806.07068673837307</v>
      </c>
      <c r="C17" s="161">
        <v>865.47727314726387</v>
      </c>
      <c r="D17" s="193">
        <v>-6.8640261566732752E-2</v>
      </c>
      <c r="E17" s="161">
        <v>761.73875647541217</v>
      </c>
      <c r="F17" s="161">
        <v>843.13227405655152</v>
      </c>
      <c r="G17" s="193">
        <v>-9.6537067890346273E-2</v>
      </c>
      <c r="H17" s="168">
        <v>769.99999999999977</v>
      </c>
      <c r="I17" s="172">
        <v>8875.2757791150725</v>
      </c>
      <c r="J17" s="161">
        <v>9446.8208867750272</v>
      </c>
      <c r="K17" s="161">
        <v>8387.1571644854594</v>
      </c>
      <c r="L17" s="160">
        <v>9202.9196995812199</v>
      </c>
      <c r="M17" s="160">
        <v>8390.0000000000036</v>
      </c>
      <c r="N17" s="172">
        <v>2.8166666666666669</v>
      </c>
      <c r="O17" s="161">
        <v>9.6999999999999993</v>
      </c>
      <c r="P17" s="161">
        <v>-5.6</v>
      </c>
      <c r="Q17" s="161">
        <v>3.9166666666666656</v>
      </c>
      <c r="R17" s="170">
        <v>-1.0999999999999988</v>
      </c>
      <c r="S17" s="191">
        <v>32.082155757976516</v>
      </c>
      <c r="T17" s="191">
        <v>355.52699000000001</v>
      </c>
      <c r="U17" s="49"/>
      <c r="V17" s="60"/>
    </row>
    <row r="18" spans="1:22" ht="12" customHeight="1">
      <c r="A18" s="162" t="s">
        <v>168</v>
      </c>
      <c r="B18" s="167">
        <v>938.44402379024746</v>
      </c>
      <c r="C18" s="164">
        <v>949.24367055958294</v>
      </c>
      <c r="D18" s="196">
        <v>-1.1377106958183926E-2</v>
      </c>
      <c r="E18" s="164">
        <v>982.74237546636175</v>
      </c>
      <c r="F18" s="164">
        <v>996.0181899766294</v>
      </c>
      <c r="G18" s="196">
        <v>-1.3328887608547746E-2</v>
      </c>
      <c r="H18" s="169">
        <v>980.00000000000023</v>
      </c>
      <c r="I18" s="173">
        <v>10305.249740642066</v>
      </c>
      <c r="J18" s="164">
        <v>10335.768841572135</v>
      </c>
      <c r="K18" s="164">
        <v>10791.699188396429</v>
      </c>
      <c r="L18" s="163">
        <v>10845.069281288157</v>
      </c>
      <c r="M18" s="163">
        <v>10679.999999999991</v>
      </c>
      <c r="N18" s="173">
        <v>1.2032258064516128</v>
      </c>
      <c r="O18" s="164">
        <v>8</v>
      </c>
      <c r="P18" s="164">
        <v>-4.0999999999999996</v>
      </c>
      <c r="Q18" s="164">
        <v>-8.0645161290322551E-2</v>
      </c>
      <c r="R18" s="171">
        <v>1.2838709677419353</v>
      </c>
      <c r="S18" s="197">
        <v>70.413518293768632</v>
      </c>
      <c r="T18" s="197">
        <v>774.62543800000003</v>
      </c>
      <c r="U18" s="49"/>
      <c r="V18" s="60"/>
    </row>
    <row r="19" spans="1:22" ht="12" customHeight="1">
      <c r="A19" s="159" t="s">
        <v>47</v>
      </c>
      <c r="B19" s="202">
        <f>SUM(B7:B9)</f>
        <v>2757.0563475469075</v>
      </c>
      <c r="C19" s="359">
        <f>SUM(C7:C9)</f>
        <v>2414.7424542564872</v>
      </c>
      <c r="D19" s="193">
        <f>(B19-C19)/C19</f>
        <v>0.14176000123202401</v>
      </c>
      <c r="E19" s="194">
        <f t="shared" ref="E19:F19" si="0">SUM(E7:E9)</f>
        <v>2851.1636230919853</v>
      </c>
      <c r="F19" s="194">
        <f t="shared" si="0"/>
        <v>2753.790153619866</v>
      </c>
      <c r="G19" s="193">
        <f t="shared" ref="G19:G25" si="1">(E19-F19)/F19</f>
        <v>3.5359800144583106E-2</v>
      </c>
      <c r="H19" s="351">
        <f t="shared" ref="H19:M19" si="2">SUM(H7:H9)</f>
        <v>2730</v>
      </c>
      <c r="I19" s="202">
        <f>SUM(I7:I9)</f>
        <v>29984.987974170934</v>
      </c>
      <c r="J19" s="359">
        <f t="shared" si="2"/>
        <v>26298.334017419933</v>
      </c>
      <c r="K19" s="194">
        <f t="shared" si="2"/>
        <v>31010.917185582606</v>
      </c>
      <c r="L19" s="194">
        <f t="shared" si="2"/>
        <v>29989.63499487334</v>
      </c>
      <c r="M19" s="351">
        <f t="shared" si="2"/>
        <v>29750.000000000004</v>
      </c>
      <c r="N19" s="202">
        <f>AVERAGE(N7:N9)</f>
        <v>1.6399131336405528</v>
      </c>
      <c r="O19" s="194">
        <f>MAX(O7:O9)</f>
        <v>9.4</v>
      </c>
      <c r="P19" s="194">
        <f>MIN(P7:P9)</f>
        <v>-6.8</v>
      </c>
      <c r="Q19" s="194">
        <f>AVERAGE(Q7:Q9)</f>
        <v>0.86062291434927696</v>
      </c>
      <c r="R19" s="205">
        <f>N19-Q19</f>
        <v>0.77929021929127584</v>
      </c>
      <c r="S19" s="194">
        <f>SUM(S7:S9)</f>
        <v>202.55979198061564</v>
      </c>
      <c r="T19" s="194">
        <f>SUM(T7:T9)</f>
        <v>2213.1067669999998</v>
      </c>
      <c r="U19" s="55"/>
      <c r="V19" s="60"/>
    </row>
    <row r="20" spans="1:22" ht="12" customHeight="1">
      <c r="A20" s="159" t="s">
        <v>55</v>
      </c>
      <c r="B20" s="202">
        <f>SUM(B10:B12)</f>
        <v>1216.9512748305358</v>
      </c>
      <c r="C20" s="194">
        <f>SUM(C10:C12)</f>
        <v>1095.4569544671369</v>
      </c>
      <c r="D20" s="193">
        <f>(B20-C20)/C20</f>
        <v>0.11090743444364487</v>
      </c>
      <c r="E20" s="194">
        <f t="shared" ref="E20:I20" si="3">SUM(E10:E12)</f>
        <v>1242.1121483430545</v>
      </c>
      <c r="F20" s="194">
        <f t="shared" ref="F20" si="4">SUM(F10:F12)</f>
        <v>1171.2543533252274</v>
      </c>
      <c r="G20" s="193">
        <f>(E20-F20)/F20</f>
        <v>6.0497358935452113E-2</v>
      </c>
      <c r="H20" s="205">
        <f>SUM(H10:H12)</f>
        <v>1170</v>
      </c>
      <c r="I20" s="202">
        <f t="shared" si="3"/>
        <v>13339.161500191987</v>
      </c>
      <c r="J20" s="194">
        <f t="shared" ref="J20" si="5">SUM(J10:J12)</f>
        <v>11957.640995719332</v>
      </c>
      <c r="K20" s="194">
        <f>SUM(K10:K12)</f>
        <v>13614.131967257588</v>
      </c>
      <c r="L20" s="194">
        <f>SUM(L10:L12)</f>
        <v>12784.588465051544</v>
      </c>
      <c r="M20" s="205">
        <f>SUM(M10:M12)</f>
        <v>12750.000000000002</v>
      </c>
      <c r="N20" s="202">
        <f>AVERAGE(N10:N12)</f>
        <v>13.421756272401433</v>
      </c>
      <c r="O20" s="194">
        <f>MAX(O10:O12)</f>
        <v>23.5</v>
      </c>
      <c r="P20" s="194">
        <f>MIN(P10:P12)</f>
        <v>0.6</v>
      </c>
      <c r="Q20" s="194">
        <f>AVERAGE(Q10:Q12)</f>
        <v>13.034336917562724</v>
      </c>
      <c r="R20" s="205">
        <f t="shared" ref="R20:R25" si="6">N20-Q20</f>
        <v>0.38741935483870904</v>
      </c>
      <c r="S20" s="194">
        <f>SUM(S10:S12)</f>
        <v>131.71445572741337</v>
      </c>
      <c r="T20" s="194">
        <f>SUM(T10:T12)</f>
        <v>1442.7884549999999</v>
      </c>
      <c r="V20" s="60"/>
    </row>
    <row r="21" spans="1:22" ht="12" customHeight="1">
      <c r="A21" s="159" t="s">
        <v>62</v>
      </c>
      <c r="B21" s="202">
        <f>SUM(B13:B15)</f>
        <v>883.57753859790114</v>
      </c>
      <c r="C21" s="194">
        <f>SUM(C13:C15)</f>
        <v>886.55515322513702</v>
      </c>
      <c r="D21" s="193">
        <f t="shared" ref="D21:D25" si="7">(B21-C21)/C21</f>
        <v>-3.3586343911079014E-3</v>
      </c>
      <c r="E21" s="194">
        <f t="shared" ref="E21:K21" si="8">SUM(E13:E15)</f>
        <v>890.46321412088059</v>
      </c>
      <c r="F21" s="194">
        <f t="shared" ref="F21" si="9">SUM(F13:F15)</f>
        <v>927.02523674135625</v>
      </c>
      <c r="G21" s="193">
        <f t="shared" si="1"/>
        <v>-3.9440158877440151E-2</v>
      </c>
      <c r="H21" s="205">
        <f>SUM(H13:H15)</f>
        <v>920</v>
      </c>
      <c r="I21" s="202">
        <f t="shared" si="8"/>
        <v>9739.2617698900067</v>
      </c>
      <c r="J21" s="194">
        <f t="shared" ref="J21" si="10">SUM(J13:J15)</f>
        <v>9690.167480442753</v>
      </c>
      <c r="K21" s="194">
        <f t="shared" si="8"/>
        <v>9815.5102687619546</v>
      </c>
      <c r="L21" s="194">
        <f t="shared" ref="L21" si="11">SUM(L13:L15)</f>
        <v>10132.760135065391</v>
      </c>
      <c r="M21" s="205">
        <f>SUM(M13:M15)</f>
        <v>10020.000000000004</v>
      </c>
      <c r="N21" s="202">
        <f>AVERAGE(N13:N15)</f>
        <v>16.720430107526884</v>
      </c>
      <c r="O21" s="194">
        <f>MAX(O13:O15)</f>
        <v>24.7</v>
      </c>
      <c r="P21" s="194">
        <f>MIN(P13:P15)</f>
        <v>6.3</v>
      </c>
      <c r="Q21" s="194">
        <f>AVERAGE(Q13:Q15)</f>
        <v>16.745806451612903</v>
      </c>
      <c r="R21" s="205">
        <f>N21-Q21</f>
        <v>-2.5376344086019742E-2</v>
      </c>
      <c r="S21" s="194">
        <f t="shared" ref="S21:T21" si="12">SUM(S13:S15)</f>
        <v>83.057717043160793</v>
      </c>
      <c r="T21" s="194">
        <f t="shared" si="12"/>
        <v>915.70389</v>
      </c>
      <c r="V21" s="60"/>
    </row>
    <row r="22" spans="1:22" ht="12" customHeight="1">
      <c r="A22" s="162" t="s">
        <v>56</v>
      </c>
      <c r="B22" s="373">
        <f>SUM(B16:B18)</f>
        <v>2350.0044284156402</v>
      </c>
      <c r="C22" s="368">
        <f>SUM(C16:C18)</f>
        <v>2369.902661334605</v>
      </c>
      <c r="D22" s="196">
        <f t="shared" si="7"/>
        <v>-8.3962237114663524E-3</v>
      </c>
      <c r="E22" s="368">
        <f t="shared" ref="E22:K22" si="13">SUM(E16:E18)</f>
        <v>2339.7231463888634</v>
      </c>
      <c r="F22" s="368">
        <f t="shared" ref="F22" si="14">SUM(F16:F18)</f>
        <v>2432.512659921244</v>
      </c>
      <c r="G22" s="196">
        <f t="shared" si="1"/>
        <v>-3.8145541875775811E-2</v>
      </c>
      <c r="H22" s="362">
        <f>SUM(H16:H18)</f>
        <v>2310</v>
      </c>
      <c r="I22" s="373">
        <f t="shared" si="13"/>
        <v>25872.513502032292</v>
      </c>
      <c r="J22" s="368">
        <f t="shared" ref="J22" si="15">SUM(J16:J18)</f>
        <v>25862.182872981455</v>
      </c>
      <c r="K22" s="368">
        <f t="shared" si="13"/>
        <v>25757.584759907357</v>
      </c>
      <c r="L22" s="368">
        <f t="shared" ref="L22" si="16">SUM(L16:L18)</f>
        <v>26545.683872383252</v>
      </c>
      <c r="M22" s="362">
        <f>SUM(M16:M18)</f>
        <v>25170</v>
      </c>
      <c r="N22" s="373">
        <f>AVERAGE(N16:N18)</f>
        <v>4.0442652329749089</v>
      </c>
      <c r="O22" s="368">
        <f>MAX(O16:O18)</f>
        <v>11.7</v>
      </c>
      <c r="P22" s="368">
        <f>MIN(P16:P18)</f>
        <v>-5.6</v>
      </c>
      <c r="Q22" s="368">
        <f>AVERAGE(Q16:Q18)</f>
        <v>4.1711469534050183</v>
      </c>
      <c r="R22" s="362">
        <f t="shared" si="6"/>
        <v>-0.12688172043010937</v>
      </c>
      <c r="S22" s="368">
        <f t="shared" ref="S22:T22" si="17">SUM(S16:S18)</f>
        <v>131.80967496820622</v>
      </c>
      <c r="T22" s="368">
        <f t="shared" si="17"/>
        <v>1453.75451</v>
      </c>
      <c r="V22" s="60"/>
    </row>
    <row r="23" spans="1:22" ht="12" customHeight="1">
      <c r="A23" s="159" t="s">
        <v>57</v>
      </c>
      <c r="B23" s="202">
        <f>SUM(B7:B12)</f>
        <v>3974.0076223774436</v>
      </c>
      <c r="C23" s="194">
        <f>SUM(C7:C12)</f>
        <v>3510.1994087236244</v>
      </c>
      <c r="D23" s="193">
        <f t="shared" si="7"/>
        <v>0.13213158560198968</v>
      </c>
      <c r="E23" s="194">
        <f>SUM(E7:E12)</f>
        <v>4093.27577143504</v>
      </c>
      <c r="F23" s="194">
        <f>SUM(F7:F12)</f>
        <v>3925.044506945093</v>
      </c>
      <c r="G23" s="193">
        <f>(E23-F23)/F23</f>
        <v>4.286098264421552E-2</v>
      </c>
      <c r="H23" s="205">
        <f>SUM(H7:H12)</f>
        <v>3900</v>
      </c>
      <c r="I23" s="202">
        <f t="shared" ref="I23:K23" si="18">SUM(I7:I12)</f>
        <v>43324.149474362915</v>
      </c>
      <c r="J23" s="194">
        <f t="shared" ref="J23" si="19">SUM(J7:J12)</f>
        <v>38255.975013139265</v>
      </c>
      <c r="K23" s="194">
        <f t="shared" si="18"/>
        <v>44625.049152840191</v>
      </c>
      <c r="L23" s="194">
        <f t="shared" ref="L23" si="20">SUM(L7:L12)</f>
        <v>42774.223459924884</v>
      </c>
      <c r="M23" s="205">
        <f>SUM(M7:M12)</f>
        <v>42500</v>
      </c>
      <c r="N23" s="202">
        <f>AVERAGE(N7:N12)</f>
        <v>7.530834703020993</v>
      </c>
      <c r="O23" s="194">
        <f>MAX(O7:O12)</f>
        <v>23.5</v>
      </c>
      <c r="P23" s="194">
        <f>MIN(P7:P12)</f>
        <v>-6.8</v>
      </c>
      <c r="Q23" s="194">
        <f>AVERAGE(Q7:Q12)</f>
        <v>6.9474799159559995</v>
      </c>
      <c r="R23" s="205">
        <f t="shared" si="6"/>
        <v>0.58335478706499355</v>
      </c>
      <c r="S23" s="194">
        <f>SUM(S7:S12)</f>
        <v>334.27424770802901</v>
      </c>
      <c r="T23" s="194">
        <f>SUM(T7:T12)</f>
        <v>3655.8952219999992</v>
      </c>
      <c r="V23" s="60"/>
    </row>
    <row r="24" spans="1:22" ht="12" customHeight="1">
      <c r="A24" s="162" t="s">
        <v>58</v>
      </c>
      <c r="B24" s="373">
        <f>SUM(B13:B18)</f>
        <v>3233.5819670135415</v>
      </c>
      <c r="C24" s="368">
        <f>SUM(C13:C18)</f>
        <v>3256.457814559742</v>
      </c>
      <c r="D24" s="196">
        <f t="shared" si="7"/>
        <v>-7.0247639763431676E-3</v>
      </c>
      <c r="E24" s="368">
        <f t="shared" ref="E24:K24" si="21">SUM(E13:E18)</f>
        <v>3230.1863605097437</v>
      </c>
      <c r="F24" s="368">
        <f t="shared" ref="F24" si="22">SUM(F13:F18)</f>
        <v>3359.5378966626004</v>
      </c>
      <c r="G24" s="196">
        <f t="shared" si="1"/>
        <v>-3.8502776313776896E-2</v>
      </c>
      <c r="H24" s="362">
        <f>SUM(H13:H18)</f>
        <v>3230</v>
      </c>
      <c r="I24" s="373">
        <f t="shared" si="21"/>
        <v>35611.775271922299</v>
      </c>
      <c r="J24" s="368">
        <f t="shared" ref="J24" si="23">SUM(J13:J18)</f>
        <v>35552.350353424205</v>
      </c>
      <c r="K24" s="368">
        <f t="shared" si="21"/>
        <v>35573.095028669311</v>
      </c>
      <c r="L24" s="368">
        <f t="shared" ref="L24" si="24">SUM(L13:L18)</f>
        <v>36678.444007448648</v>
      </c>
      <c r="M24" s="362">
        <f>SUM(M13:M18)</f>
        <v>35190</v>
      </c>
      <c r="N24" s="373">
        <f>AVERAGE(N13:N18)</f>
        <v>10.382347670250896</v>
      </c>
      <c r="O24" s="368">
        <f>MAX(O13:O18)</f>
        <v>24.7</v>
      </c>
      <c r="P24" s="368">
        <f>MIN(P13:P18)</f>
        <v>-5.6</v>
      </c>
      <c r="Q24" s="368">
        <f>AVERAGE(Q13:Q18)</f>
        <v>10.45847670250896</v>
      </c>
      <c r="R24" s="362">
        <f t="shared" si="6"/>
        <v>-7.6129032258064555E-2</v>
      </c>
      <c r="S24" s="368">
        <f t="shared" ref="S24:T24" si="25">SUM(S13:S18)</f>
        <v>214.86739201136703</v>
      </c>
      <c r="T24" s="368">
        <f t="shared" si="25"/>
        <v>2369.4584000000004</v>
      </c>
      <c r="V24" s="60"/>
    </row>
    <row r="25" spans="1:22" ht="12" customHeight="1">
      <c r="A25" s="198" t="s">
        <v>169</v>
      </c>
      <c r="B25" s="374">
        <f>SUM(B7:B18)</f>
        <v>7207.5895893909847</v>
      </c>
      <c r="C25" s="369">
        <f>SUM(C7:C18)</f>
        <v>6766.657223283366</v>
      </c>
      <c r="D25" s="375">
        <f t="shared" si="7"/>
        <v>6.5162509575690655E-2</v>
      </c>
      <c r="E25" s="369">
        <f t="shared" ref="E25:K25" si="26">SUM(E7:E18)</f>
        <v>7323.4621319447833</v>
      </c>
      <c r="F25" s="369">
        <f t="shared" ref="F25" si="27">SUM(F7:F18)</f>
        <v>7284.5824036076929</v>
      </c>
      <c r="G25" s="375">
        <f t="shared" si="1"/>
        <v>5.3372624788807733E-3</v>
      </c>
      <c r="H25" s="363">
        <f>SUM(H7:H18)</f>
        <v>7130</v>
      </c>
      <c r="I25" s="374">
        <f t="shared" si="26"/>
        <v>78935.924746285222</v>
      </c>
      <c r="J25" s="369">
        <f t="shared" ref="J25" si="28">SUM(J7:J18)</f>
        <v>73808.325366563484</v>
      </c>
      <c r="K25" s="369">
        <f t="shared" si="26"/>
        <v>80198.144181509502</v>
      </c>
      <c r="L25" s="369">
        <f t="shared" ref="L25" si="29">SUM(L7:L18)</f>
        <v>79452.66746737354</v>
      </c>
      <c r="M25" s="363">
        <f>SUM(M7:M18)</f>
        <v>77689.999999999985</v>
      </c>
      <c r="N25" s="374">
        <f>AVERAGE(N7:N18)</f>
        <v>8.9565911866359453</v>
      </c>
      <c r="O25" s="369">
        <f>MAX(O7:O18)</f>
        <v>24.7</v>
      </c>
      <c r="P25" s="369">
        <f>MIN(P7:P18)</f>
        <v>-6.8</v>
      </c>
      <c r="Q25" s="369">
        <f>AVERAGE(Q7:Q18)</f>
        <v>8.7029783092324795</v>
      </c>
      <c r="R25" s="363">
        <f t="shared" si="6"/>
        <v>0.25361287740346583</v>
      </c>
      <c r="S25" s="369">
        <f t="shared" ref="S25:T25" si="30">SUM(S7:S18)</f>
        <v>549.14163971939604</v>
      </c>
      <c r="T25" s="369">
        <f t="shared" si="30"/>
        <v>6025.3536219999996</v>
      </c>
      <c r="V25" s="60"/>
    </row>
    <row r="26" spans="1:22" ht="11.25" customHeight="1">
      <c r="A26" s="428" t="s">
        <v>306</v>
      </c>
      <c r="B26" s="428"/>
      <c r="C26" s="428"/>
      <c r="D26" s="428"/>
      <c r="E26" s="428"/>
      <c r="F26" s="428"/>
      <c r="G26" s="428"/>
      <c r="H26" s="428"/>
      <c r="I26" s="428"/>
      <c r="J26" s="428"/>
      <c r="K26" s="428"/>
      <c r="L26" s="428"/>
      <c r="M26" s="428"/>
      <c r="N26" s="428"/>
      <c r="O26" s="428"/>
      <c r="P26" s="428"/>
      <c r="Q26" s="428"/>
      <c r="R26" s="428"/>
      <c r="S26" s="428"/>
      <c r="T26" s="428"/>
    </row>
    <row r="27" spans="1:22" ht="15" customHeight="1">
      <c r="A27" s="427" t="s">
        <v>236</v>
      </c>
      <c r="B27" s="427"/>
      <c r="C27" s="427"/>
      <c r="D27" s="427"/>
      <c r="E27" s="427"/>
      <c r="F27" s="427"/>
      <c r="G27" s="427"/>
      <c r="H27" s="427"/>
      <c r="I27" s="427"/>
      <c r="J27" s="427" t="s">
        <v>154</v>
      </c>
      <c r="K27" s="427"/>
      <c r="L27" s="427"/>
      <c r="M27" s="427"/>
      <c r="N27" s="427"/>
      <c r="O27" s="427"/>
      <c r="P27" s="427"/>
      <c r="Q27" s="427"/>
      <c r="R27" s="427"/>
      <c r="S27" s="427"/>
      <c r="T27" s="427"/>
    </row>
    <row r="28" spans="1:22" ht="8.15" customHeight="1">
      <c r="A28" s="53"/>
      <c r="B28" s="53"/>
      <c r="C28" s="53"/>
      <c r="D28" s="53"/>
      <c r="E28" s="53" t="s">
        <v>135</v>
      </c>
      <c r="F28" s="53" t="s">
        <v>130</v>
      </c>
      <c r="G28" s="53"/>
      <c r="H28" s="53"/>
      <c r="I28" s="53"/>
      <c r="J28" s="53"/>
      <c r="K28" s="53"/>
      <c r="L28" s="53"/>
      <c r="M28" s="53"/>
      <c r="N28" s="54" t="str">
        <f>N6</f>
        <v xml:space="preserve"> Průměr</v>
      </c>
      <c r="O28" s="54" t="str">
        <f>Q6</f>
        <v xml:space="preserve"> Normál</v>
      </c>
      <c r="P28" s="54"/>
      <c r="Q28" s="53"/>
      <c r="R28" s="53"/>
      <c r="S28" s="53"/>
      <c r="T28" s="53"/>
    </row>
    <row r="29" spans="1:22" ht="7" customHeight="1">
      <c r="A29" s="53"/>
      <c r="B29" s="53"/>
      <c r="C29" s="53"/>
      <c r="D29" s="53" t="str">
        <f>A7</f>
        <v>Leden</v>
      </c>
      <c r="E29" s="54">
        <f>B7</f>
        <v>1044.1231458692557</v>
      </c>
      <c r="F29" s="54">
        <f>E7</f>
        <v>1108.1088840000853</v>
      </c>
      <c r="G29" s="54"/>
      <c r="H29" s="54"/>
      <c r="I29" s="53"/>
      <c r="J29" s="53"/>
      <c r="K29" s="53"/>
      <c r="L29" s="53"/>
      <c r="M29" s="53" t="str">
        <f>A7</f>
        <v>Leden</v>
      </c>
      <c r="N29" s="54">
        <f>N7</f>
        <v>0.45806774193548383</v>
      </c>
      <c r="O29" s="54">
        <f>Q7</f>
        <v>-1.1741935483870967</v>
      </c>
      <c r="P29" s="54"/>
      <c r="Q29" s="53"/>
      <c r="R29" s="53"/>
      <c r="S29" s="53"/>
      <c r="T29" s="53"/>
    </row>
    <row r="30" spans="1:22" ht="7" customHeight="1">
      <c r="A30" s="53"/>
      <c r="B30" s="53"/>
      <c r="C30" s="53"/>
      <c r="D30" s="53" t="str">
        <f t="shared" ref="D30:D39" si="31">A8</f>
        <v>Únor</v>
      </c>
      <c r="E30" s="54">
        <f t="shared" ref="E30:E40" si="32">B8</f>
        <v>961.93776684198417</v>
      </c>
      <c r="F30" s="54">
        <f t="shared" ref="F30:F40" si="33">E8</f>
        <v>932.91698346401404</v>
      </c>
      <c r="G30" s="54"/>
      <c r="H30" s="54"/>
      <c r="I30" s="53"/>
      <c r="J30" s="53"/>
      <c r="K30" s="53"/>
      <c r="L30" s="53"/>
      <c r="M30" s="53" t="str">
        <f t="shared" ref="M30:M40" si="34">A8</f>
        <v>Únor</v>
      </c>
      <c r="N30" s="54">
        <f t="shared" ref="N30:N40" si="35">N8</f>
        <v>-0.79639285714285712</v>
      </c>
      <c r="O30" s="54">
        <f t="shared" ref="O30:O40" si="36">Q8</f>
        <v>0.26896551724137935</v>
      </c>
      <c r="P30" s="54"/>
      <c r="Q30" s="53"/>
      <c r="R30" s="53"/>
      <c r="S30" s="53"/>
      <c r="T30" s="53"/>
    </row>
    <row r="31" spans="1:22" ht="7" customHeight="1">
      <c r="A31" s="53"/>
      <c r="B31" s="53"/>
      <c r="C31" s="53"/>
      <c r="D31" s="53" t="str">
        <f t="shared" si="31"/>
        <v>Březen</v>
      </c>
      <c r="E31" s="54">
        <f t="shared" si="32"/>
        <v>750.99543483566788</v>
      </c>
      <c r="F31" s="54">
        <f t="shared" si="33"/>
        <v>810.13775562788601</v>
      </c>
      <c r="G31" s="54"/>
      <c r="H31" s="54"/>
      <c r="I31" s="53"/>
      <c r="J31" s="53"/>
      <c r="K31" s="53"/>
      <c r="L31" s="53"/>
      <c r="M31" s="53" t="str">
        <f t="shared" si="34"/>
        <v>Březen</v>
      </c>
      <c r="N31" s="54">
        <f t="shared" si="35"/>
        <v>5.258064516129032</v>
      </c>
      <c r="O31" s="54">
        <f t="shared" si="36"/>
        <v>3.4870967741935481</v>
      </c>
      <c r="P31" s="54"/>
      <c r="Q31" s="53"/>
      <c r="R31" s="53"/>
      <c r="S31" s="53"/>
      <c r="T31" s="53"/>
    </row>
    <row r="32" spans="1:22" ht="7" customHeight="1">
      <c r="A32" s="53"/>
      <c r="B32" s="53"/>
      <c r="C32" s="53"/>
      <c r="D32" s="53" t="str">
        <f t="shared" si="31"/>
        <v>Duben</v>
      </c>
      <c r="E32" s="54">
        <f t="shared" si="32"/>
        <v>502.89818413239283</v>
      </c>
      <c r="F32" s="54">
        <f t="shared" si="33"/>
        <v>557.38442108344702</v>
      </c>
      <c r="G32" s="54"/>
      <c r="H32" s="54"/>
      <c r="I32" s="53"/>
      <c r="J32" s="53"/>
      <c r="K32" s="53"/>
      <c r="L32" s="53"/>
      <c r="M32" s="53" t="str">
        <f t="shared" si="34"/>
        <v>Duben</v>
      </c>
      <c r="N32" s="54">
        <f t="shared" si="35"/>
        <v>10.493333333333334</v>
      </c>
      <c r="O32" s="54">
        <f t="shared" si="36"/>
        <v>8.6933333333333316</v>
      </c>
      <c r="P32" s="54"/>
      <c r="Q32" s="53"/>
      <c r="R32" s="53"/>
      <c r="S32" s="53"/>
      <c r="T32" s="53"/>
    </row>
    <row r="33" spans="1:20" ht="7" customHeight="1">
      <c r="A33" s="53"/>
      <c r="B33" s="53"/>
      <c r="C33" s="53"/>
      <c r="D33" s="53" t="str">
        <f t="shared" si="31"/>
        <v>Květen</v>
      </c>
      <c r="E33" s="54">
        <f t="shared" si="32"/>
        <v>414.64388831417494</v>
      </c>
      <c r="F33" s="54">
        <f t="shared" si="33"/>
        <v>381.56750196106975</v>
      </c>
      <c r="G33" s="54"/>
      <c r="H33" s="54"/>
      <c r="I33" s="53"/>
      <c r="J33" s="53"/>
      <c r="K33" s="53"/>
      <c r="L33" s="53"/>
      <c r="M33" s="53" t="str">
        <f t="shared" si="34"/>
        <v>Květen</v>
      </c>
      <c r="N33" s="54">
        <f t="shared" si="35"/>
        <v>11.441935483870969</v>
      </c>
      <c r="O33" s="54">
        <f t="shared" si="36"/>
        <v>13.409677419354839</v>
      </c>
      <c r="P33" s="54"/>
      <c r="Q33" s="53"/>
      <c r="R33" s="53"/>
      <c r="S33" s="53"/>
      <c r="T33" s="53"/>
    </row>
    <row r="34" spans="1:20" ht="7" customHeight="1">
      <c r="A34" s="53"/>
      <c r="B34" s="53"/>
      <c r="C34" s="53"/>
      <c r="D34" s="53" t="str">
        <f t="shared" si="31"/>
        <v>Červen</v>
      </c>
      <c r="E34" s="54">
        <f t="shared" si="32"/>
        <v>299.40920238396802</v>
      </c>
      <c r="F34" s="54">
        <f t="shared" si="33"/>
        <v>303.1602252985378</v>
      </c>
      <c r="G34" s="54"/>
      <c r="H34" s="54"/>
      <c r="I34" s="53"/>
      <c r="J34" s="53"/>
      <c r="K34" s="53"/>
      <c r="L34" s="53"/>
      <c r="M34" s="53" t="str">
        <f t="shared" si="34"/>
        <v>Červen</v>
      </c>
      <c r="N34" s="54">
        <f t="shared" si="35"/>
        <v>18.329999999999998</v>
      </c>
      <c r="O34" s="54">
        <f t="shared" si="36"/>
        <v>17</v>
      </c>
      <c r="P34" s="54"/>
      <c r="Q34" s="53"/>
      <c r="R34" s="53"/>
      <c r="S34" s="53"/>
      <c r="T34" s="53"/>
    </row>
    <row r="35" spans="1:20" ht="7" customHeight="1">
      <c r="A35" s="53"/>
      <c r="B35" s="53"/>
      <c r="C35" s="53"/>
      <c r="D35" s="53" t="str">
        <f t="shared" si="31"/>
        <v>Červenec</v>
      </c>
      <c r="E35" s="54">
        <f t="shared" si="32"/>
        <v>294.89504768843807</v>
      </c>
      <c r="F35" s="54">
        <f t="shared" si="33"/>
        <v>293.56246588155869</v>
      </c>
      <c r="G35" s="54"/>
      <c r="H35" s="54"/>
      <c r="I35" s="53"/>
      <c r="J35" s="53"/>
      <c r="K35" s="53"/>
      <c r="L35" s="53"/>
      <c r="M35" s="53" t="str">
        <f t="shared" si="34"/>
        <v>Červenec</v>
      </c>
      <c r="N35" s="54">
        <f t="shared" si="35"/>
        <v>18.161290322580648</v>
      </c>
      <c r="O35" s="54">
        <f t="shared" si="36"/>
        <v>18.674193548387095</v>
      </c>
      <c r="P35" s="54"/>
      <c r="Q35" s="53"/>
      <c r="R35" s="53"/>
      <c r="S35" s="53"/>
      <c r="T35" s="53"/>
    </row>
    <row r="36" spans="1:20" ht="7" customHeight="1">
      <c r="A36" s="53"/>
      <c r="B36" s="53"/>
      <c r="C36" s="53"/>
      <c r="D36" s="53" t="str">
        <f t="shared" si="31"/>
        <v>Srpen</v>
      </c>
      <c r="E36" s="54">
        <f t="shared" si="32"/>
        <v>268.41715528838796</v>
      </c>
      <c r="F36" s="54">
        <f t="shared" si="33"/>
        <v>267.8776735482196</v>
      </c>
      <c r="G36" s="54"/>
      <c r="H36" s="54"/>
      <c r="I36" s="53"/>
      <c r="J36" s="53"/>
      <c r="K36" s="53"/>
      <c r="L36" s="53"/>
      <c r="M36" s="53" t="str">
        <f t="shared" si="34"/>
        <v>Srpen</v>
      </c>
      <c r="N36" s="54">
        <f t="shared" si="35"/>
        <v>17.899999999999999</v>
      </c>
      <c r="O36" s="54">
        <f t="shared" si="36"/>
        <v>18.203225806451616</v>
      </c>
      <c r="P36" s="54"/>
      <c r="Q36" s="53"/>
      <c r="R36" s="53"/>
      <c r="S36" s="53"/>
      <c r="T36" s="53"/>
    </row>
    <row r="37" spans="1:20" ht="7" customHeight="1">
      <c r="A37" s="53"/>
      <c r="B37" s="53"/>
      <c r="C37" s="53"/>
      <c r="D37" s="53" t="str">
        <f t="shared" si="31"/>
        <v>Září</v>
      </c>
      <c r="E37" s="54">
        <f t="shared" si="32"/>
        <v>320.26533562107511</v>
      </c>
      <c r="F37" s="54">
        <f t="shared" si="33"/>
        <v>329.02307469110218</v>
      </c>
      <c r="G37" s="54"/>
      <c r="H37" s="54"/>
      <c r="I37" s="53"/>
      <c r="J37" s="53"/>
      <c r="K37" s="53"/>
      <c r="L37" s="53"/>
      <c r="M37" s="53" t="str">
        <f t="shared" si="34"/>
        <v>Září</v>
      </c>
      <c r="N37" s="54">
        <f t="shared" si="35"/>
        <v>14.100000000000001</v>
      </c>
      <c r="O37" s="54">
        <f t="shared" si="36"/>
        <v>13.360000000000001</v>
      </c>
      <c r="P37" s="54"/>
      <c r="Q37" s="53"/>
      <c r="R37" s="53"/>
      <c r="S37" s="53"/>
      <c r="T37" s="53"/>
    </row>
    <row r="38" spans="1:20" ht="7" customHeight="1">
      <c r="A38" s="53"/>
      <c r="B38" s="53"/>
      <c r="C38" s="53"/>
      <c r="D38" s="53" t="str">
        <f t="shared" si="31"/>
        <v>Říjen</v>
      </c>
      <c r="E38" s="54">
        <f t="shared" si="32"/>
        <v>605.48971788701988</v>
      </c>
      <c r="F38" s="54">
        <f t="shared" si="33"/>
        <v>595.24201444708933</v>
      </c>
      <c r="G38" s="54"/>
      <c r="H38" s="54"/>
      <c r="I38" s="53"/>
      <c r="J38" s="53"/>
      <c r="K38" s="53"/>
      <c r="L38" s="53"/>
      <c r="M38" s="53" t="str">
        <f t="shared" si="34"/>
        <v>Říjen</v>
      </c>
      <c r="N38" s="54">
        <f t="shared" si="35"/>
        <v>8.1129032258064484</v>
      </c>
      <c r="O38" s="54">
        <f t="shared" si="36"/>
        <v>8.6774193548387117</v>
      </c>
      <c r="P38" s="54"/>
      <c r="Q38" s="53"/>
      <c r="R38" s="53"/>
      <c r="S38" s="53"/>
      <c r="T38" s="53"/>
    </row>
    <row r="39" spans="1:20" ht="7" customHeight="1">
      <c r="A39" s="53"/>
      <c r="B39" s="53"/>
      <c r="C39" s="53"/>
      <c r="D39" s="53" t="str">
        <f t="shared" si="31"/>
        <v>Listopad</v>
      </c>
      <c r="E39" s="54">
        <f t="shared" si="32"/>
        <v>806.07068673837307</v>
      </c>
      <c r="F39" s="54">
        <f t="shared" si="33"/>
        <v>761.73875647541217</v>
      </c>
      <c r="G39" s="53"/>
      <c r="H39" s="53"/>
      <c r="I39" s="53"/>
      <c r="J39" s="53"/>
      <c r="K39" s="53"/>
      <c r="L39" s="53"/>
      <c r="M39" s="53" t="str">
        <f t="shared" si="34"/>
        <v>Listopad</v>
      </c>
      <c r="N39" s="54">
        <f t="shared" si="35"/>
        <v>2.8166666666666669</v>
      </c>
      <c r="O39" s="54">
        <f t="shared" si="36"/>
        <v>3.9166666666666656</v>
      </c>
      <c r="P39" s="53"/>
      <c r="Q39" s="53"/>
      <c r="R39" s="53"/>
      <c r="S39" s="53"/>
      <c r="T39" s="53"/>
    </row>
    <row r="40" spans="1:20" ht="7" customHeight="1">
      <c r="A40" s="53"/>
      <c r="B40" s="53"/>
      <c r="C40" s="53"/>
      <c r="D40" s="53" t="str">
        <f>A18</f>
        <v>Prosinec</v>
      </c>
      <c r="E40" s="54">
        <f t="shared" si="32"/>
        <v>938.44402379024746</v>
      </c>
      <c r="F40" s="54">
        <f t="shared" si="33"/>
        <v>982.74237546636175</v>
      </c>
      <c r="G40" s="53"/>
      <c r="H40" s="53"/>
      <c r="I40" s="53"/>
      <c r="J40" s="53"/>
      <c r="K40" s="53"/>
      <c r="L40" s="53"/>
      <c r="M40" s="53" t="str">
        <f t="shared" si="34"/>
        <v>Prosinec</v>
      </c>
      <c r="N40" s="54">
        <f t="shared" si="35"/>
        <v>1.2032258064516128</v>
      </c>
      <c r="O40" s="54">
        <f t="shared" si="36"/>
        <v>-8.0645161290322551E-2</v>
      </c>
      <c r="P40" s="53"/>
      <c r="Q40" s="53"/>
      <c r="R40" s="53"/>
      <c r="S40" s="53"/>
      <c r="T40" s="53"/>
    </row>
    <row r="41" spans="1:20" ht="12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</row>
    <row r="42" spans="1:20" ht="12" customHeight="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</row>
    <row r="43" spans="1:20" ht="12" customHeight="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</row>
    <row r="54" spans="9:10">
      <c r="I54" s="55"/>
      <c r="J54" s="55"/>
    </row>
    <row r="56" spans="9:10">
      <c r="I56" s="60"/>
      <c r="J56" s="60"/>
    </row>
  </sheetData>
  <mergeCells count="12">
    <mergeCell ref="A27:I27"/>
    <mergeCell ref="J27:T27"/>
    <mergeCell ref="A26:T26"/>
    <mergeCell ref="B5:D5"/>
    <mergeCell ref="E5:G5"/>
    <mergeCell ref="S5:T6"/>
    <mergeCell ref="I4:M4"/>
    <mergeCell ref="N4:R4"/>
    <mergeCell ref="N5:R5"/>
    <mergeCell ref="B4:H4"/>
    <mergeCell ref="I5:J5"/>
    <mergeCell ref="K5:L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19:T21 B23:T25 B22:M22 O22:T22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1"/>
  <dimension ref="A1:AJ44"/>
  <sheetViews>
    <sheetView showGridLines="0" topLeftCell="A19" zoomScaleNormal="100" zoomScaleSheetLayoutView="100" workbookViewId="0">
      <selection activeCell="G1" sqref="G1"/>
    </sheetView>
  </sheetViews>
  <sheetFormatPr defaultRowHeight="10"/>
  <cols>
    <col min="1" max="1" width="8.26953125" style="4" customWidth="1"/>
    <col min="2" max="3" width="5.453125" style="4" customWidth="1"/>
    <col min="4" max="4" width="6.54296875" style="4" customWidth="1"/>
    <col min="5" max="5" width="7.7265625" style="4" customWidth="1"/>
    <col min="6" max="6" width="4.1796875" style="4" customWidth="1"/>
    <col min="7" max="7" width="7.7265625" style="4" customWidth="1"/>
    <col min="8" max="13" width="6.7265625" style="4" customWidth="1"/>
    <col min="14" max="14" width="7.54296875" style="4" customWidth="1"/>
    <col min="15" max="18" width="7.26953125" style="4" customWidth="1"/>
    <col min="19" max="20" width="6.7265625" style="4" customWidth="1"/>
    <col min="21" max="21" width="8" style="4" customWidth="1"/>
    <col min="22" max="22" width="9.26953125" style="4" bestFit="1" customWidth="1"/>
    <col min="23" max="23" width="11.453125" style="4" bestFit="1" customWidth="1"/>
    <col min="24" max="262" width="9.1796875" style="4"/>
    <col min="263" max="275" width="10.7265625" style="4" customWidth="1"/>
    <col min="276" max="518" width="9.1796875" style="4"/>
    <col min="519" max="531" width="10.7265625" style="4" customWidth="1"/>
    <col min="532" max="774" width="9.1796875" style="4"/>
    <col min="775" max="787" width="10.7265625" style="4" customWidth="1"/>
    <col min="788" max="1030" width="9.1796875" style="4"/>
    <col min="1031" max="1043" width="10.7265625" style="4" customWidth="1"/>
    <col min="1044" max="1286" width="9.1796875" style="4"/>
    <col min="1287" max="1299" width="10.7265625" style="4" customWidth="1"/>
    <col min="1300" max="1542" width="9.1796875" style="4"/>
    <col min="1543" max="1555" width="10.7265625" style="4" customWidth="1"/>
    <col min="1556" max="1798" width="9.1796875" style="4"/>
    <col min="1799" max="1811" width="10.7265625" style="4" customWidth="1"/>
    <col min="1812" max="2054" width="9.1796875" style="4"/>
    <col min="2055" max="2067" width="10.7265625" style="4" customWidth="1"/>
    <col min="2068" max="2310" width="9.1796875" style="4"/>
    <col min="2311" max="2323" width="10.7265625" style="4" customWidth="1"/>
    <col min="2324" max="2566" width="9.1796875" style="4"/>
    <col min="2567" max="2579" width="10.7265625" style="4" customWidth="1"/>
    <col min="2580" max="2822" width="9.1796875" style="4"/>
    <col min="2823" max="2835" width="10.7265625" style="4" customWidth="1"/>
    <col min="2836" max="3078" width="9.1796875" style="4"/>
    <col min="3079" max="3091" width="10.7265625" style="4" customWidth="1"/>
    <col min="3092" max="3334" width="9.1796875" style="4"/>
    <col min="3335" max="3347" width="10.7265625" style="4" customWidth="1"/>
    <col min="3348" max="3590" width="9.1796875" style="4"/>
    <col min="3591" max="3603" width="10.7265625" style="4" customWidth="1"/>
    <col min="3604" max="3846" width="9.1796875" style="4"/>
    <col min="3847" max="3859" width="10.7265625" style="4" customWidth="1"/>
    <col min="3860" max="4102" width="9.1796875" style="4"/>
    <col min="4103" max="4115" width="10.7265625" style="4" customWidth="1"/>
    <col min="4116" max="4358" width="9.1796875" style="4"/>
    <col min="4359" max="4371" width="10.7265625" style="4" customWidth="1"/>
    <col min="4372" max="4614" width="9.1796875" style="4"/>
    <col min="4615" max="4627" width="10.7265625" style="4" customWidth="1"/>
    <col min="4628" max="4870" width="9.1796875" style="4"/>
    <col min="4871" max="4883" width="10.7265625" style="4" customWidth="1"/>
    <col min="4884" max="5126" width="9.1796875" style="4"/>
    <col min="5127" max="5139" width="10.7265625" style="4" customWidth="1"/>
    <col min="5140" max="5382" width="9.1796875" style="4"/>
    <col min="5383" max="5395" width="10.7265625" style="4" customWidth="1"/>
    <col min="5396" max="5638" width="9.1796875" style="4"/>
    <col min="5639" max="5651" width="10.7265625" style="4" customWidth="1"/>
    <col min="5652" max="5894" width="9.1796875" style="4"/>
    <col min="5895" max="5907" width="10.7265625" style="4" customWidth="1"/>
    <col min="5908" max="6150" width="9.1796875" style="4"/>
    <col min="6151" max="6163" width="10.7265625" style="4" customWidth="1"/>
    <col min="6164" max="6406" width="9.1796875" style="4"/>
    <col min="6407" max="6419" width="10.7265625" style="4" customWidth="1"/>
    <col min="6420" max="6662" width="9.1796875" style="4"/>
    <col min="6663" max="6675" width="10.7265625" style="4" customWidth="1"/>
    <col min="6676" max="6918" width="9.1796875" style="4"/>
    <col min="6919" max="6931" width="10.7265625" style="4" customWidth="1"/>
    <col min="6932" max="7174" width="9.1796875" style="4"/>
    <col min="7175" max="7187" width="10.7265625" style="4" customWidth="1"/>
    <col min="7188" max="7430" width="9.1796875" style="4"/>
    <col min="7431" max="7443" width="10.7265625" style="4" customWidth="1"/>
    <col min="7444" max="7686" width="9.1796875" style="4"/>
    <col min="7687" max="7699" width="10.7265625" style="4" customWidth="1"/>
    <col min="7700" max="7942" width="9.1796875" style="4"/>
    <col min="7943" max="7955" width="10.7265625" style="4" customWidth="1"/>
    <col min="7956" max="8198" width="9.1796875" style="4"/>
    <col min="8199" max="8211" width="10.7265625" style="4" customWidth="1"/>
    <col min="8212" max="8454" width="9.1796875" style="4"/>
    <col min="8455" max="8467" width="10.7265625" style="4" customWidth="1"/>
    <col min="8468" max="8710" width="9.1796875" style="4"/>
    <col min="8711" max="8723" width="10.7265625" style="4" customWidth="1"/>
    <col min="8724" max="8966" width="9.1796875" style="4"/>
    <col min="8967" max="8979" width="10.7265625" style="4" customWidth="1"/>
    <col min="8980" max="9222" width="9.1796875" style="4"/>
    <col min="9223" max="9235" width="10.7265625" style="4" customWidth="1"/>
    <col min="9236" max="9478" width="9.1796875" style="4"/>
    <col min="9479" max="9491" width="10.7265625" style="4" customWidth="1"/>
    <col min="9492" max="9734" width="9.1796875" style="4"/>
    <col min="9735" max="9747" width="10.7265625" style="4" customWidth="1"/>
    <col min="9748" max="9990" width="9.1796875" style="4"/>
    <col min="9991" max="10003" width="10.7265625" style="4" customWidth="1"/>
    <col min="10004" max="10246" width="9.1796875" style="4"/>
    <col min="10247" max="10259" width="10.7265625" style="4" customWidth="1"/>
    <col min="10260" max="10502" width="9.1796875" style="4"/>
    <col min="10503" max="10515" width="10.7265625" style="4" customWidth="1"/>
    <col min="10516" max="10758" width="9.1796875" style="4"/>
    <col min="10759" max="10771" width="10.7265625" style="4" customWidth="1"/>
    <col min="10772" max="11014" width="9.1796875" style="4"/>
    <col min="11015" max="11027" width="10.7265625" style="4" customWidth="1"/>
    <col min="11028" max="11270" width="9.1796875" style="4"/>
    <col min="11271" max="11283" width="10.7265625" style="4" customWidth="1"/>
    <col min="11284" max="11526" width="9.1796875" style="4"/>
    <col min="11527" max="11539" width="10.7265625" style="4" customWidth="1"/>
    <col min="11540" max="11782" width="9.1796875" style="4"/>
    <col min="11783" max="11795" width="10.7265625" style="4" customWidth="1"/>
    <col min="11796" max="12038" width="9.1796875" style="4"/>
    <col min="12039" max="12051" width="10.7265625" style="4" customWidth="1"/>
    <col min="12052" max="12294" width="9.1796875" style="4"/>
    <col min="12295" max="12307" width="10.7265625" style="4" customWidth="1"/>
    <col min="12308" max="12550" width="9.1796875" style="4"/>
    <col min="12551" max="12563" width="10.7265625" style="4" customWidth="1"/>
    <col min="12564" max="12806" width="9.1796875" style="4"/>
    <col min="12807" max="12819" width="10.7265625" style="4" customWidth="1"/>
    <col min="12820" max="13062" width="9.1796875" style="4"/>
    <col min="13063" max="13075" width="10.7265625" style="4" customWidth="1"/>
    <col min="13076" max="13318" width="9.1796875" style="4"/>
    <col min="13319" max="13331" width="10.7265625" style="4" customWidth="1"/>
    <col min="13332" max="13574" width="9.1796875" style="4"/>
    <col min="13575" max="13587" width="10.7265625" style="4" customWidth="1"/>
    <col min="13588" max="13830" width="9.1796875" style="4"/>
    <col min="13831" max="13843" width="10.7265625" style="4" customWidth="1"/>
    <col min="13844" max="14086" width="9.1796875" style="4"/>
    <col min="14087" max="14099" width="10.7265625" style="4" customWidth="1"/>
    <col min="14100" max="14342" width="9.1796875" style="4"/>
    <col min="14343" max="14355" width="10.7265625" style="4" customWidth="1"/>
    <col min="14356" max="14598" width="9.1796875" style="4"/>
    <col min="14599" max="14611" width="10.7265625" style="4" customWidth="1"/>
    <col min="14612" max="14854" width="9.1796875" style="4"/>
    <col min="14855" max="14867" width="10.7265625" style="4" customWidth="1"/>
    <col min="14868" max="15110" width="9.1796875" style="4"/>
    <col min="15111" max="15123" width="10.7265625" style="4" customWidth="1"/>
    <col min="15124" max="15366" width="9.1796875" style="4"/>
    <col min="15367" max="15379" width="10.7265625" style="4" customWidth="1"/>
    <col min="15380" max="15622" width="9.1796875" style="4"/>
    <col min="15623" max="15635" width="10.7265625" style="4" customWidth="1"/>
    <col min="15636" max="15878" width="9.1796875" style="4"/>
    <col min="15879" max="15891" width="10.7265625" style="4" customWidth="1"/>
    <col min="15892" max="16134" width="9.1796875" style="4"/>
    <col min="16135" max="16147" width="10.7265625" style="4" customWidth="1"/>
    <col min="16148" max="16384" width="9.1796875" style="4"/>
  </cols>
  <sheetData>
    <row r="1" spans="1:36" ht="18">
      <c r="A1" s="416" t="s">
        <v>281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  <c r="U1" s="416"/>
    </row>
    <row r="2" spans="1:36" ht="6" customHeight="1">
      <c r="A2" s="218"/>
      <c r="B2" s="430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1"/>
      <c r="U2" s="431"/>
    </row>
    <row r="3" spans="1:36" ht="18" customHeight="1">
      <c r="A3" s="229">
        <f>'3.1'!A4</f>
        <v>2025</v>
      </c>
      <c r="B3" s="422" t="s">
        <v>156</v>
      </c>
      <c r="C3" s="425"/>
      <c r="D3" s="425"/>
      <c r="E3" s="425"/>
      <c r="F3" s="425"/>
      <c r="G3" s="424"/>
      <c r="H3" s="425" t="s">
        <v>59</v>
      </c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</row>
    <row r="4" spans="1:36" ht="18" customHeight="1">
      <c r="A4" s="192"/>
      <c r="B4" s="226"/>
      <c r="C4" s="227"/>
      <c r="D4" s="227"/>
      <c r="E4" s="227"/>
      <c r="F4" s="227"/>
      <c r="G4" s="228"/>
      <c r="H4" s="230" t="s">
        <v>246</v>
      </c>
      <c r="I4" s="230"/>
      <c r="J4" s="230"/>
      <c r="K4" s="230"/>
      <c r="L4" s="230"/>
      <c r="M4" s="432" t="s">
        <v>252</v>
      </c>
      <c r="N4" s="230"/>
      <c r="O4" s="231" t="s">
        <v>206</v>
      </c>
      <c r="P4" s="230"/>
      <c r="Q4" s="230"/>
      <c r="R4" s="230"/>
      <c r="S4" s="230"/>
      <c r="T4" s="432" t="s">
        <v>252</v>
      </c>
      <c r="U4" s="230"/>
    </row>
    <row r="5" spans="1:36" ht="16.5" customHeight="1">
      <c r="A5" s="195"/>
      <c r="B5" s="212" t="s">
        <v>4</v>
      </c>
      <c r="C5" s="213" t="s">
        <v>5</v>
      </c>
      <c r="D5" s="177" t="s">
        <v>6</v>
      </c>
      <c r="E5" s="213" t="s">
        <v>7</v>
      </c>
      <c r="F5" s="213" t="s">
        <v>90</v>
      </c>
      <c r="G5" s="214" t="s">
        <v>0</v>
      </c>
      <c r="H5" s="213" t="s">
        <v>4</v>
      </c>
      <c r="I5" s="213" t="s">
        <v>5</v>
      </c>
      <c r="J5" s="177" t="s">
        <v>6</v>
      </c>
      <c r="K5" s="213" t="s">
        <v>7</v>
      </c>
      <c r="L5" s="213" t="s">
        <v>90</v>
      </c>
      <c r="M5" s="433"/>
      <c r="N5" s="213" t="s">
        <v>0</v>
      </c>
      <c r="O5" s="212" t="s">
        <v>4</v>
      </c>
      <c r="P5" s="213" t="s">
        <v>5</v>
      </c>
      <c r="Q5" s="177" t="s">
        <v>6</v>
      </c>
      <c r="R5" s="213" t="s">
        <v>7</v>
      </c>
      <c r="S5" s="213" t="s">
        <v>90</v>
      </c>
      <c r="T5" s="433"/>
      <c r="U5" s="213" t="s">
        <v>0</v>
      </c>
    </row>
    <row r="6" spans="1:36" ht="13" customHeight="1">
      <c r="A6" s="159" t="s">
        <v>157</v>
      </c>
      <c r="B6" s="221">
        <v>1509</v>
      </c>
      <c r="C6" s="216">
        <v>5999</v>
      </c>
      <c r="D6" s="217">
        <v>200968</v>
      </c>
      <c r="E6" s="217">
        <v>2516535</v>
      </c>
      <c r="F6" s="217">
        <v>286</v>
      </c>
      <c r="G6" s="223">
        <v>2725297</v>
      </c>
      <c r="H6" s="160">
        <v>391.76354163476702</v>
      </c>
      <c r="I6" s="160">
        <v>103.51508511723299</v>
      </c>
      <c r="J6" s="161">
        <v>183.30271688411497</v>
      </c>
      <c r="K6" s="161">
        <v>337.03055011973703</v>
      </c>
      <c r="L6" s="161">
        <v>7.7059741014680005</v>
      </c>
      <c r="M6" s="161">
        <v>20.805278011936</v>
      </c>
      <c r="N6" s="161">
        <v>1044.1231458692559</v>
      </c>
      <c r="O6" s="166">
        <v>4259.7651817100004</v>
      </c>
      <c r="P6" s="160">
        <v>1125.9267913579999</v>
      </c>
      <c r="Q6" s="161">
        <v>1993.476515212561</v>
      </c>
      <c r="R6" s="161">
        <v>3664.5796869734882</v>
      </c>
      <c r="S6" s="161">
        <v>83.772774212999991</v>
      </c>
      <c r="T6" s="161">
        <v>226.23825053800002</v>
      </c>
      <c r="U6" s="161">
        <v>11353.759200005048</v>
      </c>
      <c r="V6" s="48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</row>
    <row r="7" spans="1:36" ht="13" customHeight="1">
      <c r="A7" s="159" t="s">
        <v>158</v>
      </c>
      <c r="B7" s="221">
        <v>1508</v>
      </c>
      <c r="C7" s="217">
        <v>5991</v>
      </c>
      <c r="D7" s="217">
        <v>200924</v>
      </c>
      <c r="E7" s="217">
        <v>2514044</v>
      </c>
      <c r="F7" s="217">
        <v>285</v>
      </c>
      <c r="G7" s="223">
        <v>2722752</v>
      </c>
      <c r="H7" s="160">
        <v>365.46712462880907</v>
      </c>
      <c r="I7" s="161">
        <v>96.139395248675982</v>
      </c>
      <c r="J7" s="161">
        <v>171.733782210443</v>
      </c>
      <c r="K7" s="161">
        <v>303.05332268221099</v>
      </c>
      <c r="L7" s="161">
        <v>7.1490807061480011</v>
      </c>
      <c r="M7" s="161">
        <v>18.395061365696996</v>
      </c>
      <c r="N7" s="161">
        <v>961.93776684198394</v>
      </c>
      <c r="O7" s="166">
        <v>3966.9411341880004</v>
      </c>
      <c r="P7" s="161">
        <v>1043.583162745</v>
      </c>
      <c r="Q7" s="161">
        <v>1863.7776674972054</v>
      </c>
      <c r="R7" s="161">
        <v>3288.1759236586063</v>
      </c>
      <c r="S7" s="161">
        <v>77.556347806000005</v>
      </c>
      <c r="T7" s="161">
        <v>199.59037809899999</v>
      </c>
      <c r="U7" s="161">
        <v>10439.62461399381</v>
      </c>
      <c r="V7" s="50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</row>
    <row r="8" spans="1:36" ht="13" customHeight="1">
      <c r="A8" s="162" t="s">
        <v>159</v>
      </c>
      <c r="B8" s="222">
        <v>1502</v>
      </c>
      <c r="C8" s="220">
        <v>5614</v>
      </c>
      <c r="D8" s="220">
        <v>201321</v>
      </c>
      <c r="E8" s="220">
        <v>2511366</v>
      </c>
      <c r="F8" s="220">
        <v>286</v>
      </c>
      <c r="G8" s="224">
        <v>2720089</v>
      </c>
      <c r="H8" s="163">
        <v>327.31334059653</v>
      </c>
      <c r="I8" s="164">
        <v>70.041830430893</v>
      </c>
      <c r="J8" s="164">
        <v>120.962595327694</v>
      </c>
      <c r="K8" s="164">
        <v>209.34462062273496</v>
      </c>
      <c r="L8" s="164">
        <v>7.6331338803759996</v>
      </c>
      <c r="M8" s="164">
        <v>15.699913977439996</v>
      </c>
      <c r="N8" s="164">
        <v>750.99543483566799</v>
      </c>
      <c r="O8" s="167">
        <v>3570.2110122060003</v>
      </c>
      <c r="P8" s="164">
        <v>764.22981771700006</v>
      </c>
      <c r="Q8" s="164">
        <v>1319.5398433776741</v>
      </c>
      <c r="R8" s="164">
        <v>2283.1674802343946</v>
      </c>
      <c r="S8" s="164">
        <v>83.231702341000002</v>
      </c>
      <c r="T8" s="164">
        <v>171.22430429600001</v>
      </c>
      <c r="U8" s="164">
        <v>8191.6041601720681</v>
      </c>
      <c r="V8" s="51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</row>
    <row r="9" spans="1:36" ht="13" customHeight="1">
      <c r="A9" s="159" t="s">
        <v>160</v>
      </c>
      <c r="B9" s="221">
        <v>1506</v>
      </c>
      <c r="C9" s="217">
        <v>5610</v>
      </c>
      <c r="D9" s="217">
        <v>201008</v>
      </c>
      <c r="E9" s="217">
        <v>2509091</v>
      </c>
      <c r="F9" s="217">
        <v>284</v>
      </c>
      <c r="G9" s="223">
        <v>2717499</v>
      </c>
      <c r="H9" s="160">
        <v>264.889162614935</v>
      </c>
      <c r="I9" s="161">
        <v>43.876915784455008</v>
      </c>
      <c r="J9" s="161">
        <v>63.484065045904991</v>
      </c>
      <c r="K9" s="161">
        <v>117.448305599075</v>
      </c>
      <c r="L9" s="161">
        <v>7.3702796530210009</v>
      </c>
      <c r="M9" s="161">
        <v>5.829455435002</v>
      </c>
      <c r="N9" s="161">
        <v>502.898184132393</v>
      </c>
      <c r="O9" s="166">
        <v>2901.6463966589999</v>
      </c>
      <c r="P9" s="161">
        <v>480.73360299199999</v>
      </c>
      <c r="Q9" s="161">
        <v>695.50811987560212</v>
      </c>
      <c r="R9" s="161">
        <v>1286.786131640393</v>
      </c>
      <c r="S9" s="161">
        <v>80.72473785699998</v>
      </c>
      <c r="T9" s="161">
        <v>63.918730587999981</v>
      </c>
      <c r="U9" s="161">
        <v>5509.3177196119941</v>
      </c>
      <c r="V9" s="50"/>
      <c r="W9" s="49"/>
      <c r="X9" s="49"/>
      <c r="Y9" s="49"/>
    </row>
    <row r="10" spans="1:36" ht="13" customHeight="1">
      <c r="A10" s="159" t="s">
        <v>161</v>
      </c>
      <c r="B10" s="221">
        <v>1509</v>
      </c>
      <c r="C10" s="217">
        <v>5610</v>
      </c>
      <c r="D10" s="217">
        <v>200934</v>
      </c>
      <c r="E10" s="217">
        <v>2506573</v>
      </c>
      <c r="F10" s="217">
        <v>284</v>
      </c>
      <c r="G10" s="223">
        <v>2714910</v>
      </c>
      <c r="H10" s="160">
        <v>242.47445133718594</v>
      </c>
      <c r="I10" s="161">
        <v>34.808455318248008</v>
      </c>
      <c r="J10" s="161">
        <v>45.289161839467994</v>
      </c>
      <c r="K10" s="161">
        <v>79.571398059336005</v>
      </c>
      <c r="L10" s="161">
        <v>7.5152330411259989</v>
      </c>
      <c r="M10" s="161">
        <v>4.9851887188109982</v>
      </c>
      <c r="N10" s="161">
        <v>414.64388831417494</v>
      </c>
      <c r="O10" s="166">
        <v>2661.1531833179997</v>
      </c>
      <c r="P10" s="161">
        <v>382.03736785900003</v>
      </c>
      <c r="Q10" s="161">
        <v>497.00942078172307</v>
      </c>
      <c r="R10" s="161">
        <v>873.34531663626899</v>
      </c>
      <c r="S10" s="161">
        <v>82.451927291000004</v>
      </c>
      <c r="T10" s="161">
        <v>54.735385220000019</v>
      </c>
      <c r="U10" s="161">
        <v>4550.7326011059922</v>
      </c>
      <c r="V10" s="50"/>
      <c r="W10" s="49"/>
      <c r="X10" s="49"/>
      <c r="Y10" s="49"/>
    </row>
    <row r="11" spans="1:36" ht="13" customHeight="1">
      <c r="A11" s="162" t="s">
        <v>162</v>
      </c>
      <c r="B11" s="222">
        <v>1511</v>
      </c>
      <c r="C11" s="220">
        <v>5600</v>
      </c>
      <c r="D11" s="220">
        <v>200918</v>
      </c>
      <c r="E11" s="220">
        <v>2504479</v>
      </c>
      <c r="F11" s="220">
        <v>284</v>
      </c>
      <c r="G11" s="224">
        <v>2712792</v>
      </c>
      <c r="H11" s="163">
        <v>218.38265041507199</v>
      </c>
      <c r="I11" s="164">
        <v>22.339670816557998</v>
      </c>
      <c r="J11" s="164">
        <v>16.516497264782004</v>
      </c>
      <c r="K11" s="164">
        <v>33.398036788603001</v>
      </c>
      <c r="L11" s="164">
        <v>7.5550412079470002</v>
      </c>
      <c r="M11" s="164">
        <v>1.2173058910059997</v>
      </c>
      <c r="N11" s="164">
        <v>299.40920238396802</v>
      </c>
      <c r="O11" s="167">
        <v>2391.7148387839998</v>
      </c>
      <c r="P11" s="164">
        <v>244.68159679500002</v>
      </c>
      <c r="Q11" s="164">
        <v>180.81819716489301</v>
      </c>
      <c r="R11" s="164">
        <v>365.80199205310799</v>
      </c>
      <c r="S11" s="164">
        <v>82.725484096000002</v>
      </c>
      <c r="T11" s="164">
        <v>13.369070580999981</v>
      </c>
      <c r="U11" s="164">
        <v>3279.1111794740004</v>
      </c>
      <c r="V11" s="50"/>
      <c r="W11" s="49"/>
      <c r="X11" s="49"/>
      <c r="Y11" s="49"/>
    </row>
    <row r="12" spans="1:36" ht="13" customHeight="1">
      <c r="A12" s="159" t="s">
        <v>163</v>
      </c>
      <c r="B12" s="221">
        <v>1509</v>
      </c>
      <c r="C12" s="217">
        <v>5602</v>
      </c>
      <c r="D12" s="217">
        <v>200893</v>
      </c>
      <c r="E12" s="217">
        <v>2501839</v>
      </c>
      <c r="F12" s="217">
        <v>285</v>
      </c>
      <c r="G12" s="223">
        <v>2710128</v>
      </c>
      <c r="H12" s="160">
        <v>221.06156981042</v>
      </c>
      <c r="I12" s="161">
        <v>20.997932877570999</v>
      </c>
      <c r="J12" s="161">
        <v>15.662708926367998</v>
      </c>
      <c r="K12" s="161">
        <v>29.690780156635004</v>
      </c>
      <c r="L12" s="161">
        <v>7.4845939932790007</v>
      </c>
      <c r="M12" s="161">
        <v>-2.5380758350001145E-3</v>
      </c>
      <c r="N12" s="161">
        <v>294.89504768843807</v>
      </c>
      <c r="O12" s="166">
        <v>2428.9992311159999</v>
      </c>
      <c r="P12" s="161">
        <v>230.64315123799997</v>
      </c>
      <c r="Q12" s="161">
        <v>171.95732167858199</v>
      </c>
      <c r="R12" s="161">
        <v>326.12079973042199</v>
      </c>
      <c r="S12" s="161">
        <v>82.181303216000003</v>
      </c>
      <c r="T12" s="161">
        <v>5.6396474999994554E-2</v>
      </c>
      <c r="U12" s="161">
        <v>3239.9582034540035</v>
      </c>
      <c r="V12" s="50"/>
      <c r="W12" s="49"/>
      <c r="X12" s="49"/>
      <c r="Y12" s="49"/>
    </row>
    <row r="13" spans="1:36" ht="13" customHeight="1">
      <c r="A13" s="159" t="s">
        <v>164</v>
      </c>
      <c r="B13" s="221">
        <v>1515</v>
      </c>
      <c r="C13" s="217">
        <v>5610</v>
      </c>
      <c r="D13" s="217">
        <v>200720</v>
      </c>
      <c r="E13" s="217">
        <v>2499759</v>
      </c>
      <c r="F13" s="217">
        <v>284</v>
      </c>
      <c r="G13" s="223">
        <v>2707888</v>
      </c>
      <c r="H13" s="160">
        <v>192.22303408797401</v>
      </c>
      <c r="I13" s="161">
        <v>21.489094322785999</v>
      </c>
      <c r="J13" s="161">
        <v>16.642271287891003</v>
      </c>
      <c r="K13" s="161">
        <v>31.043828375027999</v>
      </c>
      <c r="L13" s="161">
        <v>7.2537530815639997</v>
      </c>
      <c r="M13" s="161">
        <v>-0.23482586685499862</v>
      </c>
      <c r="N13" s="161">
        <v>268.41715528838802</v>
      </c>
      <c r="O13" s="166">
        <v>2118.4835175570001</v>
      </c>
      <c r="P13" s="161">
        <v>236.82320858900002</v>
      </c>
      <c r="Q13" s="161">
        <v>183.33293098937699</v>
      </c>
      <c r="R13" s="161">
        <v>342.11406212462003</v>
      </c>
      <c r="S13" s="161">
        <v>79.917726584999997</v>
      </c>
      <c r="T13" s="161">
        <v>-2.556942092000011</v>
      </c>
      <c r="U13" s="161">
        <v>2958.1145037529968</v>
      </c>
      <c r="V13" s="50"/>
      <c r="W13" s="49"/>
      <c r="X13" s="49"/>
      <c r="Y13" s="49"/>
    </row>
    <row r="14" spans="1:36" ht="13" customHeight="1">
      <c r="A14" s="162" t="s">
        <v>165</v>
      </c>
      <c r="B14" s="222">
        <v>1519</v>
      </c>
      <c r="C14" s="220">
        <v>5620</v>
      </c>
      <c r="D14" s="220">
        <v>200629</v>
      </c>
      <c r="E14" s="220">
        <v>2497949</v>
      </c>
      <c r="F14" s="220">
        <v>284</v>
      </c>
      <c r="G14" s="224">
        <v>2706001</v>
      </c>
      <c r="H14" s="163">
        <v>205.11094489568202</v>
      </c>
      <c r="I14" s="164">
        <v>29.724808644541</v>
      </c>
      <c r="J14" s="164">
        <v>27.034713598568999</v>
      </c>
      <c r="K14" s="164">
        <v>48.930214638123999</v>
      </c>
      <c r="L14" s="164">
        <v>7.5333297226090021</v>
      </c>
      <c r="M14" s="164">
        <v>1.9313241215499992</v>
      </c>
      <c r="N14" s="164">
        <v>320.265335621075</v>
      </c>
      <c r="O14" s="167">
        <v>2267.6878849949999</v>
      </c>
      <c r="P14" s="164">
        <v>328.70254694799996</v>
      </c>
      <c r="Q14" s="164">
        <v>298.93427716236596</v>
      </c>
      <c r="R14" s="164">
        <v>541.08551531464207</v>
      </c>
      <c r="S14" s="164">
        <v>83.274964650000001</v>
      </c>
      <c r="T14" s="164">
        <v>21.503873612999982</v>
      </c>
      <c r="U14" s="164">
        <v>3541.1890626830082</v>
      </c>
      <c r="V14" s="50"/>
      <c r="W14" s="49"/>
      <c r="X14" s="49"/>
      <c r="Y14" s="49"/>
    </row>
    <row r="15" spans="1:36" ht="13" customHeight="1">
      <c r="A15" s="159" t="s">
        <v>166</v>
      </c>
      <c r="B15" s="221">
        <v>1523</v>
      </c>
      <c r="C15" s="217">
        <v>5629</v>
      </c>
      <c r="D15" s="217">
        <v>200630</v>
      </c>
      <c r="E15" s="217">
        <v>2496758</v>
      </c>
      <c r="F15" s="217">
        <v>283</v>
      </c>
      <c r="G15" s="223">
        <v>2704823</v>
      </c>
      <c r="H15" s="160">
        <v>282.06742076336093</v>
      </c>
      <c r="I15" s="161">
        <v>59.964980910245998</v>
      </c>
      <c r="J15" s="161">
        <v>90.173538033769987</v>
      </c>
      <c r="K15" s="161">
        <v>158.76371948071102</v>
      </c>
      <c r="L15" s="161">
        <v>7.7419846574459994</v>
      </c>
      <c r="M15" s="161">
        <v>6.7780740414860015</v>
      </c>
      <c r="N15" s="161">
        <v>605.48971788701988</v>
      </c>
      <c r="O15" s="166">
        <v>3116.9149852099999</v>
      </c>
      <c r="P15" s="161">
        <v>662.91547527900002</v>
      </c>
      <c r="Q15" s="161">
        <v>996.80330539922397</v>
      </c>
      <c r="R15" s="161">
        <v>1754.889207447929</v>
      </c>
      <c r="S15" s="161">
        <v>85.555468866000012</v>
      </c>
      <c r="T15" s="161">
        <v>74.909540073000002</v>
      </c>
      <c r="U15" s="161">
        <v>6691.9879822751536</v>
      </c>
      <c r="V15" s="50"/>
      <c r="W15" s="49"/>
      <c r="X15" s="49"/>
      <c r="Y15" s="49"/>
    </row>
    <row r="16" spans="1:36" ht="13" customHeight="1">
      <c r="A16" s="159" t="s">
        <v>167</v>
      </c>
      <c r="B16" s="221">
        <v>1520</v>
      </c>
      <c r="C16" s="217">
        <v>5630</v>
      </c>
      <c r="D16" s="217">
        <v>200666</v>
      </c>
      <c r="E16" s="217">
        <v>2495869</v>
      </c>
      <c r="F16" s="217">
        <v>283</v>
      </c>
      <c r="G16" s="223">
        <v>2703968</v>
      </c>
      <c r="H16" s="160">
        <v>313.53433930126602</v>
      </c>
      <c r="I16" s="161">
        <v>82.247618059550007</v>
      </c>
      <c r="J16" s="161">
        <v>140.89347392199701</v>
      </c>
      <c r="K16" s="161">
        <v>249.14959084831705</v>
      </c>
      <c r="L16" s="161">
        <v>7.6505013911640001</v>
      </c>
      <c r="M16" s="161">
        <v>12.595163216078998</v>
      </c>
      <c r="N16" s="161">
        <v>806.07068673837307</v>
      </c>
      <c r="O16" s="166">
        <v>3451.6513985239999</v>
      </c>
      <c r="P16" s="161">
        <v>905.70179970499998</v>
      </c>
      <c r="Q16" s="161">
        <v>1551.438212438439</v>
      </c>
      <c r="R16" s="161">
        <v>2743.3722284366299</v>
      </c>
      <c r="S16" s="161">
        <v>84.219998679999989</v>
      </c>
      <c r="T16" s="161">
        <v>138.892141331</v>
      </c>
      <c r="U16" s="161">
        <v>8875.2757791150689</v>
      </c>
      <c r="V16" s="50"/>
      <c r="W16" s="49"/>
      <c r="X16" s="49"/>
      <c r="Y16" s="49"/>
    </row>
    <row r="17" spans="1:25" ht="13" customHeight="1">
      <c r="A17" s="162" t="s">
        <v>168</v>
      </c>
      <c r="B17" s="222">
        <v>1520</v>
      </c>
      <c r="C17" s="220">
        <v>5635</v>
      </c>
      <c r="D17" s="220">
        <v>200711</v>
      </c>
      <c r="E17" s="220">
        <v>2494252</v>
      </c>
      <c r="F17" s="220">
        <v>282</v>
      </c>
      <c r="G17" s="224">
        <v>2702400</v>
      </c>
      <c r="H17" s="163">
        <v>349.57935554403099</v>
      </c>
      <c r="I17" s="164">
        <v>89.038589697707991</v>
      </c>
      <c r="J17" s="164">
        <v>170.66123949675801</v>
      </c>
      <c r="K17" s="164">
        <v>305.61565684728106</v>
      </c>
      <c r="L17" s="164">
        <v>7.2388511648920009</v>
      </c>
      <c r="M17" s="164">
        <v>16.310329876104998</v>
      </c>
      <c r="N17" s="164">
        <v>938.44402262677511</v>
      </c>
      <c r="O17" s="167">
        <v>3838.4566503640003</v>
      </c>
      <c r="P17" s="164">
        <v>977.95678873200018</v>
      </c>
      <c r="Q17" s="164">
        <v>1874.2615525733522</v>
      </c>
      <c r="R17" s="164">
        <v>3355.9219281304991</v>
      </c>
      <c r="S17" s="164">
        <v>79.478732077000004</v>
      </c>
      <c r="T17" s="164">
        <v>179.17407596700002</v>
      </c>
      <c r="U17" s="164">
        <v>10305.249727843851</v>
      </c>
      <c r="V17" s="50"/>
      <c r="W17" s="49"/>
      <c r="X17" s="49"/>
      <c r="Y17" s="49"/>
    </row>
    <row r="18" spans="1:25" ht="13" customHeight="1">
      <c r="A18" s="159" t="s">
        <v>47</v>
      </c>
      <c r="B18" s="221">
        <f>B8</f>
        <v>1502</v>
      </c>
      <c r="C18" s="216">
        <f t="shared" ref="C18:E18" si="0">C8</f>
        <v>5614</v>
      </c>
      <c r="D18" s="216">
        <f t="shared" si="0"/>
        <v>201321</v>
      </c>
      <c r="E18" s="216">
        <f t="shared" si="0"/>
        <v>2511366</v>
      </c>
      <c r="F18" s="216">
        <f t="shared" ref="F18" si="1">F8</f>
        <v>286</v>
      </c>
      <c r="G18" s="225">
        <f>G8</f>
        <v>2720089</v>
      </c>
      <c r="H18" s="160">
        <f>SUM(H6:H8)</f>
        <v>1084.544006860106</v>
      </c>
      <c r="I18" s="160">
        <f>SUM(I6:I8)</f>
        <v>269.69631079680198</v>
      </c>
      <c r="J18" s="160">
        <f t="shared" ref="J18:K18" si="2">SUM(J6:J8)</f>
        <v>475.99909442225191</v>
      </c>
      <c r="K18" s="160">
        <f t="shared" si="2"/>
        <v>849.42849342468298</v>
      </c>
      <c r="L18" s="160">
        <f t="shared" ref="L18" si="3">SUM(L6:L8)</f>
        <v>22.488188687992</v>
      </c>
      <c r="M18" s="160">
        <f t="shared" ref="M18" si="4">SUM(M6:M8)</f>
        <v>54.900253355072998</v>
      </c>
      <c r="N18" s="160">
        <f>SUM(N6:N8)</f>
        <v>2757.056347546908</v>
      </c>
      <c r="O18" s="166">
        <f>SUM(O6:O8)</f>
        <v>11796.917328104002</v>
      </c>
      <c r="P18" s="160">
        <f>SUM(P6:P8)</f>
        <v>2933.73977182</v>
      </c>
      <c r="Q18" s="160">
        <f t="shared" ref="Q18:U18" si="5">SUM(Q6:Q8)</f>
        <v>5176.7940260874402</v>
      </c>
      <c r="R18" s="160">
        <f t="shared" si="5"/>
        <v>9235.9230908664886</v>
      </c>
      <c r="S18" s="160">
        <f t="shared" ref="S18" si="6">SUM(S6:S8)</f>
        <v>244.56082436000003</v>
      </c>
      <c r="T18" s="160">
        <f t="shared" ref="T18" si="7">SUM(T6:T8)</f>
        <v>597.05293293299997</v>
      </c>
      <c r="U18" s="160">
        <f t="shared" si="5"/>
        <v>29984.987974170926</v>
      </c>
    </row>
    <row r="19" spans="1:25" ht="13" customHeight="1">
      <c r="A19" s="159" t="s">
        <v>55</v>
      </c>
      <c r="B19" s="221">
        <f>B11</f>
        <v>1511</v>
      </c>
      <c r="C19" s="216">
        <f t="shared" ref="C19:G19" si="8">C11</f>
        <v>5600</v>
      </c>
      <c r="D19" s="216">
        <f t="shared" si="8"/>
        <v>200918</v>
      </c>
      <c r="E19" s="216">
        <f t="shared" si="8"/>
        <v>2504479</v>
      </c>
      <c r="F19" s="216">
        <f t="shared" ref="F19" si="9">F11</f>
        <v>284</v>
      </c>
      <c r="G19" s="225">
        <f t="shared" si="8"/>
        <v>2712792</v>
      </c>
      <c r="H19" s="160">
        <f>SUM(H9:H11)</f>
        <v>725.74626436719291</v>
      </c>
      <c r="I19" s="160">
        <f>SUM(I9:I11)</f>
        <v>101.02504191926101</v>
      </c>
      <c r="J19" s="160">
        <f t="shared" ref="J19:N19" si="10">SUM(J9:J11)</f>
        <v>125.289724150155</v>
      </c>
      <c r="K19" s="160">
        <f t="shared" si="10"/>
        <v>230.41774044701401</v>
      </c>
      <c r="L19" s="160">
        <f t="shared" ref="L19" si="11">SUM(L9:L11)</f>
        <v>22.440553902093999</v>
      </c>
      <c r="M19" s="160">
        <f t="shared" ref="M19" si="12">SUM(M9:M11)</f>
        <v>12.031950044818998</v>
      </c>
      <c r="N19" s="160">
        <f t="shared" si="10"/>
        <v>1216.951274830536</v>
      </c>
      <c r="O19" s="166">
        <f>SUM(O9:O11)</f>
        <v>7954.5144187609994</v>
      </c>
      <c r="P19" s="160">
        <f>SUM(P9:P11)</f>
        <v>1107.452567646</v>
      </c>
      <c r="Q19" s="160">
        <f t="shared" ref="Q19:U19" si="13">SUM(Q9:Q11)</f>
        <v>1373.3357378222183</v>
      </c>
      <c r="R19" s="160">
        <f t="shared" si="13"/>
        <v>2525.9334403297698</v>
      </c>
      <c r="S19" s="160">
        <f t="shared" ref="S19" si="14">SUM(S9:S11)</f>
        <v>245.90214924399999</v>
      </c>
      <c r="T19" s="160">
        <f t="shared" ref="T19" si="15">SUM(T9:T11)</f>
        <v>132.02318638899999</v>
      </c>
      <c r="U19" s="160">
        <f t="shared" si="13"/>
        <v>13339.161500191987</v>
      </c>
    </row>
    <row r="20" spans="1:25" ht="13" customHeight="1">
      <c r="A20" s="159" t="s">
        <v>62</v>
      </c>
      <c r="B20" s="221">
        <f>B14</f>
        <v>1519</v>
      </c>
      <c r="C20" s="216">
        <f t="shared" ref="C20:G20" si="16">C14</f>
        <v>5620</v>
      </c>
      <c r="D20" s="216">
        <f t="shared" si="16"/>
        <v>200629</v>
      </c>
      <c r="E20" s="216">
        <f t="shared" si="16"/>
        <v>2497949</v>
      </c>
      <c r="F20" s="216">
        <f t="shared" ref="F20" si="17">F14</f>
        <v>284</v>
      </c>
      <c r="G20" s="225">
        <f t="shared" si="16"/>
        <v>2706001</v>
      </c>
      <c r="H20" s="160">
        <f>SUM(H12:H14)</f>
        <v>618.39554879407603</v>
      </c>
      <c r="I20" s="160">
        <f>SUM(I12:I14)</f>
        <v>72.21183584489799</v>
      </c>
      <c r="J20" s="160">
        <f t="shared" ref="J20:N20" si="18">SUM(J12:J14)</f>
        <v>59.339693812828003</v>
      </c>
      <c r="K20" s="160">
        <f t="shared" si="18"/>
        <v>109.664823169787</v>
      </c>
      <c r="L20" s="160">
        <f t="shared" ref="L20" si="19">SUM(L12:L14)</f>
        <v>22.271676797452002</v>
      </c>
      <c r="M20" s="160">
        <f t="shared" ref="M20" si="20">SUM(M12:M14)</f>
        <v>1.6939601788600005</v>
      </c>
      <c r="N20" s="160">
        <f t="shared" si="18"/>
        <v>883.57753859790103</v>
      </c>
      <c r="O20" s="166">
        <f>SUM(O12:O14)</f>
        <v>6815.1706336679999</v>
      </c>
      <c r="P20" s="160">
        <f>SUM(P12:P14)</f>
        <v>796.16890677499998</v>
      </c>
      <c r="Q20" s="160">
        <f t="shared" ref="Q20:U20" si="21">SUM(Q12:Q14)</f>
        <v>654.22452983032485</v>
      </c>
      <c r="R20" s="160">
        <f t="shared" si="21"/>
        <v>1209.320377169684</v>
      </c>
      <c r="S20" s="160">
        <f t="shared" ref="S20" si="22">SUM(S12:S14)</f>
        <v>245.37399445099999</v>
      </c>
      <c r="T20" s="160">
        <f t="shared" ref="T20" si="23">SUM(T12:T14)</f>
        <v>19.003327995999964</v>
      </c>
      <c r="U20" s="160">
        <f t="shared" si="21"/>
        <v>9739.2617698900085</v>
      </c>
    </row>
    <row r="21" spans="1:25" ht="13" customHeight="1">
      <c r="A21" s="162" t="s">
        <v>56</v>
      </c>
      <c r="B21" s="222">
        <f>B17</f>
        <v>1520</v>
      </c>
      <c r="C21" s="219">
        <f t="shared" ref="C21:E21" si="24">C17</f>
        <v>5635</v>
      </c>
      <c r="D21" s="219">
        <f t="shared" si="24"/>
        <v>200711</v>
      </c>
      <c r="E21" s="219">
        <f t="shared" si="24"/>
        <v>2494252</v>
      </c>
      <c r="F21" s="219">
        <f t="shared" ref="F21" si="25">F17</f>
        <v>282</v>
      </c>
      <c r="G21" s="376">
        <f>G17</f>
        <v>2702400</v>
      </c>
      <c r="H21" s="163">
        <f>SUM(H15:H17)</f>
        <v>945.18111560865782</v>
      </c>
      <c r="I21" s="163">
        <f>SUM(I15:I17)</f>
        <v>231.25118866750398</v>
      </c>
      <c r="J21" s="163">
        <f t="shared" ref="J21:N21" si="26">SUM(J15:J17)</f>
        <v>401.728251452525</v>
      </c>
      <c r="K21" s="163">
        <f t="shared" si="26"/>
        <v>713.52896717630915</v>
      </c>
      <c r="L21" s="163">
        <f t="shared" ref="L21" si="27">SUM(L15:L17)</f>
        <v>22.631337213502</v>
      </c>
      <c r="M21" s="163">
        <f t="shared" ref="M21" si="28">SUM(M15:M17)</f>
        <v>35.683567133669996</v>
      </c>
      <c r="N21" s="163">
        <f t="shared" si="26"/>
        <v>2350.0044272521682</v>
      </c>
      <c r="O21" s="167">
        <f>SUM(O15:O17)</f>
        <v>10407.023034098</v>
      </c>
      <c r="P21" s="163">
        <f>SUM(P15:P17)</f>
        <v>2546.5740637160002</v>
      </c>
      <c r="Q21" s="163">
        <f t="shared" ref="Q21:U21" si="29">SUM(Q15:Q17)</f>
        <v>4422.5030704110159</v>
      </c>
      <c r="R21" s="163">
        <f t="shared" si="29"/>
        <v>7854.183364015058</v>
      </c>
      <c r="S21" s="163">
        <f t="shared" ref="S21" si="30">SUM(S15:S17)</f>
        <v>249.25419962300003</v>
      </c>
      <c r="T21" s="163">
        <f t="shared" ref="T21" si="31">SUM(T15:T17)</f>
        <v>392.97575737100004</v>
      </c>
      <c r="U21" s="163">
        <f t="shared" si="29"/>
        <v>25872.513489234072</v>
      </c>
    </row>
    <row r="22" spans="1:25" ht="13" customHeight="1">
      <c r="A22" s="159" t="s">
        <v>57</v>
      </c>
      <c r="B22" s="221">
        <f>B11</f>
        <v>1511</v>
      </c>
      <c r="C22" s="216">
        <f t="shared" ref="C22:G22" si="32">C11</f>
        <v>5600</v>
      </c>
      <c r="D22" s="216">
        <f t="shared" si="32"/>
        <v>200918</v>
      </c>
      <c r="E22" s="216">
        <f t="shared" si="32"/>
        <v>2504479</v>
      </c>
      <c r="F22" s="216">
        <f t="shared" ref="F22" si="33">F11</f>
        <v>284</v>
      </c>
      <c r="G22" s="225">
        <f t="shared" si="32"/>
        <v>2712792</v>
      </c>
      <c r="H22" s="160">
        <f>SUM(H6:H11)</f>
        <v>1810.2902712272989</v>
      </c>
      <c r="I22" s="160">
        <f>SUM(I6:I11)</f>
        <v>370.721352716063</v>
      </c>
      <c r="J22" s="160">
        <f t="shared" ref="J22:N22" si="34">SUM(J6:J11)</f>
        <v>601.28881857240685</v>
      </c>
      <c r="K22" s="160">
        <f t="shared" si="34"/>
        <v>1079.8462338716968</v>
      </c>
      <c r="L22" s="160">
        <f t="shared" ref="L22" si="35">SUM(L6:L11)</f>
        <v>44.928742590086003</v>
      </c>
      <c r="M22" s="160">
        <f t="shared" ref="M22" si="36">SUM(M6:M11)</f>
        <v>66.932203399892003</v>
      </c>
      <c r="N22" s="160">
        <f t="shared" si="34"/>
        <v>3974.007622377444</v>
      </c>
      <c r="O22" s="166">
        <f>SUM(O6:O11)</f>
        <v>19751.431746865001</v>
      </c>
      <c r="P22" s="160">
        <f>SUM(P6:P11)</f>
        <v>4041.1923394659998</v>
      </c>
      <c r="Q22" s="160">
        <f t="shared" ref="Q22:U22" si="37">SUM(Q6:Q11)</f>
        <v>6550.1297639096583</v>
      </c>
      <c r="R22" s="160">
        <f t="shared" si="37"/>
        <v>11761.856531196257</v>
      </c>
      <c r="S22" s="160">
        <f t="shared" ref="S22" si="38">SUM(S6:S11)</f>
        <v>490.46297360400001</v>
      </c>
      <c r="T22" s="160">
        <f t="shared" ref="T22" si="39">SUM(T6:T11)</f>
        <v>729.07611932199995</v>
      </c>
      <c r="U22" s="160">
        <f t="shared" si="37"/>
        <v>43324.149474362915</v>
      </c>
    </row>
    <row r="23" spans="1:25" ht="13" customHeight="1">
      <c r="A23" s="162" t="s">
        <v>58</v>
      </c>
      <c r="B23" s="222">
        <f>B17</f>
        <v>1520</v>
      </c>
      <c r="C23" s="219">
        <f t="shared" ref="C23:G23" si="40">C17</f>
        <v>5635</v>
      </c>
      <c r="D23" s="219">
        <f t="shared" si="40"/>
        <v>200711</v>
      </c>
      <c r="E23" s="219">
        <f t="shared" si="40"/>
        <v>2494252</v>
      </c>
      <c r="F23" s="219">
        <f t="shared" ref="F23" si="41">F17</f>
        <v>282</v>
      </c>
      <c r="G23" s="376">
        <f t="shared" si="40"/>
        <v>2702400</v>
      </c>
      <c r="H23" s="163">
        <f>SUM(H12:H17)</f>
        <v>1563.576664402734</v>
      </c>
      <c r="I23" s="163">
        <f>SUM(I12:I17)</f>
        <v>303.463024512402</v>
      </c>
      <c r="J23" s="163">
        <f t="shared" ref="J23:N23" si="42">SUM(J12:J17)</f>
        <v>461.06794526535299</v>
      </c>
      <c r="K23" s="163">
        <f t="shared" si="42"/>
        <v>823.19379034609619</v>
      </c>
      <c r="L23" s="163">
        <f t="shared" ref="L23" si="43">SUM(L12:L17)</f>
        <v>44.90301401095401</v>
      </c>
      <c r="M23" s="163">
        <f t="shared" ref="M23" si="44">SUM(M12:M17)</f>
        <v>37.377527312529992</v>
      </c>
      <c r="N23" s="163">
        <f t="shared" si="42"/>
        <v>3233.5819658500695</v>
      </c>
      <c r="O23" s="167">
        <f>SUM(O12:O17)</f>
        <v>17222.193667766001</v>
      </c>
      <c r="P23" s="163">
        <f>SUM(P12:P17)</f>
        <v>3342.7429704910001</v>
      </c>
      <c r="Q23" s="163">
        <f t="shared" ref="Q23:U23" si="45">SUM(Q12:Q17)</f>
        <v>5076.72760024134</v>
      </c>
      <c r="R23" s="163">
        <f t="shared" si="45"/>
        <v>9063.5037411847425</v>
      </c>
      <c r="S23" s="163">
        <f t="shared" ref="S23" si="46">SUM(S12:S17)</f>
        <v>494.62819407400002</v>
      </c>
      <c r="T23" s="163">
        <f t="shared" ref="T23" si="47">SUM(T12:T17)</f>
        <v>411.97908536699998</v>
      </c>
      <c r="U23" s="163">
        <f t="shared" si="45"/>
        <v>35611.775259124079</v>
      </c>
    </row>
    <row r="24" spans="1:25" ht="13" customHeight="1">
      <c r="A24" s="162" t="s">
        <v>169</v>
      </c>
      <c r="B24" s="222">
        <f>B17</f>
        <v>1520</v>
      </c>
      <c r="C24" s="219">
        <f t="shared" ref="C24:G24" si="48">C17</f>
        <v>5635</v>
      </c>
      <c r="D24" s="219">
        <f t="shared" si="48"/>
        <v>200711</v>
      </c>
      <c r="E24" s="219">
        <f t="shared" si="48"/>
        <v>2494252</v>
      </c>
      <c r="F24" s="219">
        <f t="shared" ref="F24" si="49">F17</f>
        <v>282</v>
      </c>
      <c r="G24" s="376">
        <f t="shared" si="48"/>
        <v>2702400</v>
      </c>
      <c r="H24" s="163">
        <f>SUM(H6:H17)</f>
        <v>3373.8669356300329</v>
      </c>
      <c r="I24" s="163">
        <f>SUM(I6:I17)</f>
        <v>674.18437722846488</v>
      </c>
      <c r="J24" s="163">
        <f t="shared" ref="J24:N24" si="50">SUM(J6:J17)</f>
        <v>1062.3567638377599</v>
      </c>
      <c r="K24" s="163">
        <f t="shared" si="50"/>
        <v>1903.0400242177927</v>
      </c>
      <c r="L24" s="163">
        <f t="shared" ref="L24" si="51">SUM(L6:L17)</f>
        <v>89.831756601039999</v>
      </c>
      <c r="M24" s="163">
        <f t="shared" ref="M24" si="52">SUM(M6:M17)</f>
        <v>104.30973071242201</v>
      </c>
      <c r="N24" s="163">
        <f t="shared" si="50"/>
        <v>7207.5895882275136</v>
      </c>
      <c r="O24" s="167">
        <f>SUM(O6:O17)</f>
        <v>36973.625414631002</v>
      </c>
      <c r="P24" s="163">
        <f>SUM(P6:P17)</f>
        <v>7383.9353099569998</v>
      </c>
      <c r="Q24" s="163">
        <f t="shared" ref="Q24:U24" si="53">SUM(Q6:Q17)</f>
        <v>11626.857364150999</v>
      </c>
      <c r="R24" s="163">
        <f t="shared" si="53"/>
        <v>20825.360272381</v>
      </c>
      <c r="S24" s="163">
        <f t="shared" ref="S24" si="54">SUM(S6:S17)</f>
        <v>985.09116767799992</v>
      </c>
      <c r="T24" s="163">
        <f t="shared" ref="T24" si="55">SUM(T6:T17)</f>
        <v>1141.0552046890002</v>
      </c>
      <c r="U24" s="163">
        <f t="shared" si="53"/>
        <v>78935.924733487002</v>
      </c>
    </row>
    <row r="25" spans="1:25" ht="15" customHeight="1"/>
    <row r="26" spans="1:25" ht="26.15" customHeight="1">
      <c r="A26" s="413" t="s">
        <v>295</v>
      </c>
      <c r="B26" s="413"/>
      <c r="C26" s="413"/>
      <c r="D26" s="413"/>
      <c r="E26" s="413"/>
      <c r="F26" s="413"/>
      <c r="G26" s="413"/>
      <c r="H26" s="413"/>
      <c r="I26" s="413" t="s">
        <v>240</v>
      </c>
      <c r="J26" s="413"/>
      <c r="K26" s="413"/>
      <c r="L26" s="413"/>
      <c r="M26" s="413"/>
      <c r="N26" s="103"/>
      <c r="O26" s="103"/>
      <c r="P26" s="413" t="s">
        <v>241</v>
      </c>
      <c r="Q26" s="427"/>
      <c r="R26" s="427"/>
      <c r="S26" s="427"/>
      <c r="T26" s="427"/>
    </row>
    <row r="27" spans="1:25" ht="12" customHeight="1">
      <c r="A27" s="59"/>
      <c r="B27" s="61" t="str">
        <f>B5</f>
        <v>VO</v>
      </c>
      <c r="C27" s="61" t="str">
        <f t="shared" ref="C27:E27" si="56">C5</f>
        <v>SO</v>
      </c>
      <c r="D27" s="61" t="str">
        <f t="shared" si="56"/>
        <v>MO</v>
      </c>
      <c r="E27" s="61" t="str">
        <f t="shared" si="56"/>
        <v>DOM</v>
      </c>
      <c r="F27" s="61" t="str">
        <f>F5</f>
        <v>CNG</v>
      </c>
      <c r="G27" s="348"/>
      <c r="H27" s="63"/>
      <c r="I27" s="61" t="str">
        <f>H5</f>
        <v>VO</v>
      </c>
      <c r="J27" s="61" t="str">
        <f t="shared" ref="J27" si="57">I5</f>
        <v>SO</v>
      </c>
      <c r="K27" s="61" t="str">
        <f>J5</f>
        <v>MO</v>
      </c>
      <c r="L27" s="61" t="str">
        <f t="shared" ref="L27:M27" si="58">K5</f>
        <v>DOM</v>
      </c>
      <c r="M27" s="61" t="str">
        <f t="shared" si="58"/>
        <v>CNG</v>
      </c>
      <c r="N27" s="62"/>
      <c r="O27" s="64"/>
      <c r="P27" s="61" t="str">
        <f>O5</f>
        <v>VO</v>
      </c>
      <c r="Q27" s="61" t="str">
        <f t="shared" ref="Q27:T27" si="59">P5</f>
        <v>SO</v>
      </c>
      <c r="R27" s="61" t="str">
        <f t="shared" si="59"/>
        <v>MO</v>
      </c>
      <c r="S27" s="61" t="str">
        <f t="shared" si="59"/>
        <v>DOM</v>
      </c>
      <c r="T27" s="61" t="str">
        <f t="shared" si="59"/>
        <v>CNG</v>
      </c>
      <c r="U27" s="52"/>
    </row>
    <row r="28" spans="1:25" ht="12" customHeight="1">
      <c r="B28" s="65">
        <f>B18</f>
        <v>1502</v>
      </c>
      <c r="C28" s="65">
        <f>C18</f>
        <v>5614</v>
      </c>
      <c r="D28" s="65">
        <f>D18</f>
        <v>201321</v>
      </c>
      <c r="E28" s="65">
        <f>E18</f>
        <v>2511366</v>
      </c>
      <c r="F28" s="65">
        <f>F18</f>
        <v>286</v>
      </c>
      <c r="G28" s="349"/>
      <c r="H28" s="64" t="str">
        <f>A18</f>
        <v>I. čtvrtletí</v>
      </c>
      <c r="I28" s="66">
        <f>H18</f>
        <v>1084.544006860106</v>
      </c>
      <c r="J28" s="66">
        <f t="shared" ref="J28:M28" si="60">I18</f>
        <v>269.69631079680198</v>
      </c>
      <c r="K28" s="66">
        <f t="shared" si="60"/>
        <v>475.99909442225191</v>
      </c>
      <c r="L28" s="66">
        <f t="shared" si="60"/>
        <v>849.42849342468298</v>
      </c>
      <c r="M28" s="66">
        <f t="shared" si="60"/>
        <v>22.488188687992</v>
      </c>
      <c r="N28" s="53"/>
      <c r="O28" s="63" t="str">
        <f>A18</f>
        <v>I. čtvrtletí</v>
      </c>
      <c r="P28" s="65">
        <f>O18</f>
        <v>11796.917328104002</v>
      </c>
      <c r="Q28" s="65">
        <f t="shared" ref="Q28:T28" si="61">P18</f>
        <v>2933.73977182</v>
      </c>
      <c r="R28" s="65">
        <f t="shared" si="61"/>
        <v>5176.7940260874402</v>
      </c>
      <c r="S28" s="65">
        <f t="shared" si="61"/>
        <v>9235.9230908664886</v>
      </c>
      <c r="T28" s="65">
        <f t="shared" si="61"/>
        <v>244.56082436000003</v>
      </c>
      <c r="U28" s="55"/>
    </row>
    <row r="29" spans="1:25" ht="12" customHeight="1">
      <c r="B29" s="358"/>
      <c r="C29" s="358"/>
      <c r="D29" s="358"/>
      <c r="E29" s="349"/>
      <c r="F29" s="349"/>
      <c r="G29" s="349"/>
      <c r="H29" s="64" t="str">
        <f t="shared" ref="H29:H31" si="62">A19</f>
        <v>II. čtvrtletí</v>
      </c>
      <c r="I29" s="66">
        <f t="shared" ref="I29:M29" si="63">H19</f>
        <v>725.74626436719291</v>
      </c>
      <c r="J29" s="66">
        <f t="shared" si="63"/>
        <v>101.02504191926101</v>
      </c>
      <c r="K29" s="66">
        <f t="shared" si="63"/>
        <v>125.289724150155</v>
      </c>
      <c r="L29" s="66">
        <f t="shared" si="63"/>
        <v>230.41774044701401</v>
      </c>
      <c r="M29" s="66">
        <f t="shared" si="63"/>
        <v>22.440553902093999</v>
      </c>
      <c r="N29" s="53"/>
      <c r="O29" s="63" t="str">
        <f t="shared" ref="O29:O31" si="64">A19</f>
        <v>II. čtvrtletí</v>
      </c>
      <c r="P29" s="65">
        <f t="shared" ref="P29:T29" si="65">O19</f>
        <v>7954.5144187609994</v>
      </c>
      <c r="Q29" s="65">
        <f t="shared" si="65"/>
        <v>1107.452567646</v>
      </c>
      <c r="R29" s="65">
        <f t="shared" si="65"/>
        <v>1373.3357378222183</v>
      </c>
      <c r="S29" s="65">
        <f t="shared" si="65"/>
        <v>2525.9334403297698</v>
      </c>
      <c r="T29" s="65">
        <f t="shared" si="65"/>
        <v>245.90214924399999</v>
      </c>
      <c r="U29" s="55"/>
    </row>
    <row r="30" spans="1:25" ht="12" customHeight="1">
      <c r="B30" s="53"/>
      <c r="C30" s="53"/>
      <c r="D30" s="53"/>
      <c r="E30" s="54"/>
      <c r="F30" s="54"/>
      <c r="G30" s="54"/>
      <c r="H30" s="64" t="str">
        <f t="shared" si="62"/>
        <v>III. čtvrtletí</v>
      </c>
      <c r="I30" s="66">
        <f t="shared" ref="I30:M30" si="66">H20</f>
        <v>618.39554879407603</v>
      </c>
      <c r="J30" s="66">
        <f t="shared" si="66"/>
        <v>72.21183584489799</v>
      </c>
      <c r="K30" s="66">
        <f t="shared" si="66"/>
        <v>59.339693812828003</v>
      </c>
      <c r="L30" s="66">
        <f t="shared" si="66"/>
        <v>109.664823169787</v>
      </c>
      <c r="M30" s="66">
        <f t="shared" si="66"/>
        <v>22.271676797452002</v>
      </c>
      <c r="N30" s="53"/>
      <c r="O30" s="63" t="str">
        <f t="shared" si="64"/>
        <v>III. čtvrtletí</v>
      </c>
      <c r="P30" s="65">
        <f t="shared" ref="P30:T30" si="67">O20</f>
        <v>6815.1706336679999</v>
      </c>
      <c r="Q30" s="65">
        <f t="shared" si="67"/>
        <v>796.16890677499998</v>
      </c>
      <c r="R30" s="65">
        <f t="shared" si="67"/>
        <v>654.22452983032485</v>
      </c>
      <c r="S30" s="65">
        <f t="shared" si="67"/>
        <v>1209.320377169684</v>
      </c>
      <c r="T30" s="65">
        <f t="shared" si="67"/>
        <v>245.37399445099999</v>
      </c>
      <c r="U30" s="55"/>
    </row>
    <row r="31" spans="1:25" ht="12" customHeight="1">
      <c r="B31" s="53"/>
      <c r="C31" s="53"/>
      <c r="D31" s="53"/>
      <c r="E31" s="54"/>
      <c r="F31" s="54"/>
      <c r="G31" s="54"/>
      <c r="H31" s="64" t="str">
        <f t="shared" si="62"/>
        <v>IV. čtvrtletí</v>
      </c>
      <c r="I31" s="66">
        <f t="shared" ref="I31:M31" si="68">H21</f>
        <v>945.18111560865782</v>
      </c>
      <c r="J31" s="66">
        <f t="shared" si="68"/>
        <v>231.25118866750398</v>
      </c>
      <c r="K31" s="66">
        <f t="shared" si="68"/>
        <v>401.728251452525</v>
      </c>
      <c r="L31" s="66">
        <f t="shared" si="68"/>
        <v>713.52896717630915</v>
      </c>
      <c r="M31" s="66">
        <f t="shared" si="68"/>
        <v>22.631337213502</v>
      </c>
      <c r="N31" s="53"/>
      <c r="O31" s="63" t="str">
        <f t="shared" si="64"/>
        <v>IV. čtvrtletí</v>
      </c>
      <c r="P31" s="65">
        <f t="shared" ref="P31:T31" si="69">O21</f>
        <v>10407.023034098</v>
      </c>
      <c r="Q31" s="65">
        <f t="shared" si="69"/>
        <v>2546.5740637160002</v>
      </c>
      <c r="R31" s="65">
        <f t="shared" si="69"/>
        <v>4422.5030704110159</v>
      </c>
      <c r="S31" s="65">
        <f t="shared" si="69"/>
        <v>7854.183364015058</v>
      </c>
      <c r="T31" s="65">
        <f t="shared" si="69"/>
        <v>249.25419962300003</v>
      </c>
      <c r="U31" s="55"/>
    </row>
    <row r="32" spans="1:25" ht="12" customHeight="1">
      <c r="E32" s="55"/>
      <c r="F32" s="55"/>
      <c r="G32" s="55"/>
      <c r="H32" s="55"/>
      <c r="I32" s="55"/>
      <c r="Q32" s="55"/>
      <c r="R32" s="55"/>
      <c r="S32" s="55"/>
      <c r="T32" s="55"/>
      <c r="U32" s="55"/>
    </row>
    <row r="33" spans="4:21" ht="12" customHeight="1">
      <c r="D33" s="429"/>
      <c r="E33" s="55"/>
      <c r="F33" s="55"/>
      <c r="G33" s="55"/>
      <c r="H33" s="55"/>
      <c r="I33" s="55"/>
      <c r="Q33" s="55"/>
      <c r="R33" s="55"/>
      <c r="S33" s="55"/>
      <c r="T33" s="55"/>
      <c r="U33" s="55"/>
    </row>
    <row r="34" spans="4:21" ht="12" customHeight="1">
      <c r="D34" s="429"/>
      <c r="E34" s="55"/>
      <c r="F34" s="55"/>
      <c r="G34" s="55"/>
      <c r="H34" s="55"/>
      <c r="I34" s="55"/>
      <c r="Q34" s="55"/>
      <c r="R34" s="55"/>
      <c r="S34" s="55"/>
      <c r="T34" s="55"/>
      <c r="U34" s="55"/>
    </row>
    <row r="35" spans="4:21" ht="12" customHeight="1">
      <c r="E35" s="55"/>
      <c r="F35" s="55"/>
      <c r="G35" s="55"/>
      <c r="H35" s="55"/>
      <c r="I35" s="55"/>
      <c r="Q35" s="55"/>
      <c r="R35" s="55"/>
      <c r="S35" s="55"/>
      <c r="T35" s="55"/>
      <c r="U35" s="55"/>
    </row>
    <row r="36" spans="4:21" ht="12" customHeight="1">
      <c r="E36" s="55"/>
      <c r="F36" s="55"/>
      <c r="G36" s="55"/>
      <c r="H36" s="55"/>
      <c r="I36" s="55"/>
      <c r="Q36" s="55"/>
      <c r="R36" s="55"/>
      <c r="S36" s="55"/>
      <c r="T36" s="55"/>
      <c r="U36" s="55"/>
    </row>
    <row r="37" spans="4:21" ht="12" customHeight="1">
      <c r="E37" s="55"/>
      <c r="F37" s="55"/>
      <c r="G37" s="55"/>
      <c r="H37" s="55"/>
      <c r="I37" s="55"/>
      <c r="Q37" s="55"/>
      <c r="R37" s="55"/>
      <c r="S37" s="55"/>
      <c r="T37" s="55"/>
      <c r="U37" s="55"/>
    </row>
    <row r="38" spans="4:21" ht="12" customHeight="1">
      <c r="E38" s="55"/>
      <c r="F38" s="55"/>
      <c r="G38" s="55"/>
      <c r="H38" s="55"/>
      <c r="I38" s="55"/>
      <c r="Q38" s="55"/>
      <c r="R38" s="55"/>
      <c r="S38" s="55"/>
      <c r="T38" s="55"/>
      <c r="U38" s="55"/>
    </row>
    <row r="39" spans="4:21" ht="12" customHeight="1">
      <c r="E39" s="55"/>
      <c r="F39" s="55"/>
      <c r="G39" s="55"/>
      <c r="H39" s="55"/>
      <c r="I39" s="55"/>
      <c r="Q39" s="55"/>
      <c r="R39" s="55"/>
      <c r="S39" s="55"/>
      <c r="T39" s="55"/>
      <c r="U39" s="55"/>
    </row>
    <row r="40" spans="4:21" ht="12" customHeight="1"/>
    <row r="41" spans="4:21" ht="12" customHeight="1"/>
    <row r="42" spans="4:21" ht="12" customHeight="1"/>
    <row r="43" spans="4:21" ht="12" customHeight="1"/>
    <row r="44" spans="4:21" ht="12" customHeight="1"/>
  </sheetData>
  <mergeCells count="10">
    <mergeCell ref="D33:D34"/>
    <mergeCell ref="A1:U1"/>
    <mergeCell ref="B2:U2"/>
    <mergeCell ref="B3:G3"/>
    <mergeCell ref="H3:U3"/>
    <mergeCell ref="A26:H26"/>
    <mergeCell ref="I26:M26"/>
    <mergeCell ref="P26:T26"/>
    <mergeCell ref="M4:M5"/>
    <mergeCell ref="T4:T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H18:U18 H21:U23 H19:I19 J19:U19 H20:U2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34</vt:i4>
      </vt:variant>
      <vt:variant>
        <vt:lpstr>Pojmenované oblasti</vt:lpstr>
      </vt:variant>
      <vt:variant>
        <vt:i4>8</vt:i4>
      </vt:variant>
    </vt:vector>
  </HeadingPairs>
  <TitlesOfParts>
    <vt:vector size="42" baseType="lpstr">
      <vt:lpstr>Titulní</vt:lpstr>
      <vt:lpstr>Obsah</vt:lpstr>
      <vt:lpstr>Úvod</vt:lpstr>
      <vt:lpstr>1</vt:lpstr>
      <vt:lpstr>2</vt:lpstr>
      <vt:lpstr>3.1</vt:lpstr>
      <vt:lpstr>3.2</vt:lpstr>
      <vt:lpstr>4.1</vt:lpstr>
      <vt:lpstr>4.2</vt:lpstr>
      <vt:lpstr>4.3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7</vt:lpstr>
      <vt:lpstr>Obálka</vt:lpstr>
      <vt:lpstr>'2'!Oblast_tisku</vt:lpstr>
      <vt:lpstr>Titulní!Oblast_tisku</vt:lpstr>
      <vt:lpstr>'2'!OLE_LINK42</vt:lpstr>
      <vt:lpstr>Úvod!OLE_LINK42</vt:lpstr>
      <vt:lpstr>'2'!OLE_LINK43</vt:lpstr>
      <vt:lpstr>Úvod!OLE_LINK43</vt:lpstr>
      <vt:lpstr>Úvod!OLE_LINK6</vt:lpstr>
      <vt:lpstr>Úvod!OLE_LINK7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2026-02-06T08:59:18Z</cp:lastPrinted>
  <dcterms:created xsi:type="dcterms:W3CDTF">2010-02-15T08:19:53Z</dcterms:created>
  <dcterms:modified xsi:type="dcterms:W3CDTF">2026-02-06T09:25:01Z</dcterms:modified>
</cp:coreProperties>
</file>