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FSP\Statistika\PLYN\Plyn statistika\Plyn - Mesic\2024\"/>
    </mc:Choice>
  </mc:AlternateContent>
  <xr:revisionPtr revIDLastSave="0" documentId="13_ncr:1_{ED3CA98C-6D6C-4F6A-8315-1FE803B512BE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Titulní" sheetId="180" r:id="rId1"/>
    <sheet name="Obsah" sheetId="170" r:id="rId2"/>
    <sheet name="Úvod" sheetId="171" r:id="rId3"/>
    <sheet name="1" sheetId="172" r:id="rId4"/>
    <sheet name="2" sheetId="179" r:id="rId5"/>
    <sheet name="3.1" sheetId="105" r:id="rId6"/>
    <sheet name="3.2" sheetId="122" r:id="rId7"/>
    <sheet name="4.1" sheetId="146" r:id="rId8"/>
    <sheet name="4.2" sheetId="147" r:id="rId9"/>
    <sheet name="4.3" sheetId="145" r:id="rId10"/>
    <sheet name="5.1" sheetId="116" r:id="rId11"/>
    <sheet name="5.2" sheetId="165" r:id="rId12"/>
    <sheet name="5.3" sheetId="167" r:id="rId13"/>
    <sheet name="5.4" sheetId="166" r:id="rId14"/>
    <sheet name="5.5" sheetId="168" r:id="rId15"/>
    <sheet name="5.6" sheetId="126" r:id="rId16"/>
    <sheet name="5.7" sheetId="161" r:id="rId17"/>
    <sheet name="5.8" sheetId="162" r:id="rId18"/>
    <sheet name="5.9" sheetId="163" r:id="rId19"/>
    <sheet name="5.10" sheetId="133" r:id="rId20"/>
    <sheet name="6.1" sheetId="107" r:id="rId21"/>
    <sheet name="6.2" sheetId="108" r:id="rId22"/>
    <sheet name="6.3" sheetId="109" r:id="rId23"/>
    <sheet name="6.4" sheetId="110" r:id="rId24"/>
    <sheet name="6.5" sheetId="111" r:id="rId25"/>
    <sheet name="6.6" sheetId="112" r:id="rId26"/>
    <sheet name="6.7" sheetId="113" r:id="rId27"/>
    <sheet name="6.8" sheetId="120" r:id="rId28"/>
    <sheet name="6.9" sheetId="139" r:id="rId29"/>
    <sheet name="6.10" sheetId="140" r:id="rId30"/>
    <sheet name="6.11" sheetId="141" r:id="rId31"/>
    <sheet name="6.12" sheetId="128" r:id="rId32"/>
    <sheet name="7" sheetId="175" r:id="rId33"/>
    <sheet name="Obálka" sheetId="181" r:id="rId34"/>
  </sheets>
  <definedNames>
    <definedName name="Datum_OTE" localSheetId="33">"4. 8. 2022"</definedName>
    <definedName name="Datum_OTE">"2. 5. 2017"</definedName>
    <definedName name="_xlnm.Print_Area" localSheetId="4">'2'!$A$1:$I$49</definedName>
    <definedName name="_xlnm.Print_Area" localSheetId="0">Titulní!$A$1:$B$2</definedName>
    <definedName name="OLE_LINK42" localSheetId="4">'2'!$A$4</definedName>
    <definedName name="OLE_LINK42" localSheetId="2">Úvod!$A$4</definedName>
    <definedName name="OLE_LINK43" localSheetId="4">'2'!$A$4</definedName>
    <definedName name="OLE_LINK43" localSheetId="2">Úvod!$A$4</definedName>
    <definedName name="OLE_LINK6" localSheetId="4">'2'!#REF!</definedName>
    <definedName name="OLE_LINK6" localSheetId="2">Úvod!$A$7</definedName>
    <definedName name="OLE_LINK7" localSheetId="4">'2'!#REF!</definedName>
    <definedName name="OLE_LINK7" localSheetId="2">Úvod!$A$7</definedName>
  </definedNames>
  <calcPr calcId="191029"/>
</workbook>
</file>

<file path=xl/calcChain.xml><?xml version="1.0" encoding="utf-8"?>
<calcChain xmlns="http://schemas.openxmlformats.org/spreadsheetml/2006/main">
  <c r="H44" i="111" l="1"/>
  <c r="H20" i="147" l="1"/>
  <c r="N22" i="146" l="1"/>
  <c r="E25" i="179" s="1"/>
  <c r="B20" i="146"/>
  <c r="B21" i="146"/>
  <c r="K27" i="105" l="1"/>
  <c r="K51" i="105"/>
  <c r="K47" i="105"/>
  <c r="K46" i="105"/>
  <c r="K45" i="105"/>
  <c r="K44" i="105"/>
  <c r="K43" i="105"/>
  <c r="K42" i="105"/>
  <c r="K41" i="105"/>
  <c r="K40" i="105"/>
  <c r="K39" i="105"/>
  <c r="K38" i="105"/>
  <c r="K37" i="105"/>
  <c r="K36" i="105"/>
  <c r="K35" i="105"/>
  <c r="K34" i="105"/>
  <c r="K33" i="105"/>
  <c r="K32" i="105"/>
  <c r="K31" i="105"/>
  <c r="K30" i="105"/>
  <c r="K29" i="105"/>
  <c r="K28" i="105"/>
  <c r="K26" i="105"/>
  <c r="K25" i="105"/>
  <c r="K24" i="105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K11" i="105"/>
  <c r="K10" i="105"/>
  <c r="K9" i="105"/>
  <c r="K8" i="105"/>
  <c r="K7" i="105"/>
  <c r="K6" i="105"/>
  <c r="G27" i="105"/>
  <c r="G51" i="105"/>
  <c r="G47" i="105"/>
  <c r="G46" i="105"/>
  <c r="G45" i="105"/>
  <c r="G44" i="105"/>
  <c r="G43" i="105"/>
  <c r="G42" i="105"/>
  <c r="G41" i="105"/>
  <c r="G40" i="105"/>
  <c r="G39" i="105"/>
  <c r="G38" i="105"/>
  <c r="G37" i="105"/>
  <c r="G36" i="105"/>
  <c r="G35" i="105"/>
  <c r="G34" i="105"/>
  <c r="G33" i="105"/>
  <c r="G32" i="105"/>
  <c r="G31" i="105"/>
  <c r="G30" i="105"/>
  <c r="G29" i="105"/>
  <c r="G28" i="105"/>
  <c r="G26" i="105"/>
  <c r="G25" i="105"/>
  <c r="G24" i="105"/>
  <c r="G23" i="105"/>
  <c r="G22" i="105"/>
  <c r="G21" i="105"/>
  <c r="G20" i="105"/>
  <c r="G19" i="105"/>
  <c r="G18" i="105"/>
  <c r="G17" i="105"/>
  <c r="G16" i="105"/>
  <c r="G15" i="105"/>
  <c r="G14" i="105"/>
  <c r="G13" i="105"/>
  <c r="G12" i="105"/>
  <c r="G11" i="105"/>
  <c r="G10" i="105"/>
  <c r="G9" i="105"/>
  <c r="G8" i="105"/>
  <c r="G7" i="105"/>
  <c r="G6" i="105"/>
  <c r="I29" i="116" l="1"/>
  <c r="H25" i="168" l="1"/>
  <c r="B19" i="146"/>
  <c r="C19" i="146"/>
  <c r="B19" i="122" l="1"/>
  <c r="B18" i="122"/>
  <c r="G9" i="108" l="1"/>
  <c r="G10" i="108"/>
  <c r="G11" i="108"/>
  <c r="G12" i="108"/>
  <c r="G13" i="108"/>
  <c r="G15" i="108"/>
  <c r="G16" i="108"/>
  <c r="G17" i="108"/>
  <c r="G18" i="108"/>
  <c r="G19" i="108"/>
  <c r="G21" i="108"/>
  <c r="G22" i="108"/>
  <c r="G23" i="108"/>
  <c r="G24" i="108"/>
  <c r="G25" i="108"/>
  <c r="G14" i="108" l="1"/>
  <c r="G20" i="108"/>
  <c r="G26" i="108"/>
  <c r="K7" i="168" l="1"/>
  <c r="K8" i="168"/>
  <c r="K9" i="168"/>
  <c r="K10" i="168"/>
  <c r="K11" i="168"/>
  <c r="K12" i="168"/>
  <c r="I28" i="167"/>
  <c r="J28" i="167"/>
  <c r="I29" i="167"/>
  <c r="J29" i="167"/>
  <c r="I30" i="167"/>
  <c r="J30" i="167"/>
  <c r="I31" i="167"/>
  <c r="J31" i="167"/>
  <c r="I32" i="167"/>
  <c r="J32" i="167"/>
  <c r="I33" i="167"/>
  <c r="J33" i="167"/>
  <c r="K13" i="168" l="1"/>
  <c r="J34" i="167"/>
  <c r="I34" i="167"/>
  <c r="R44" i="128" l="1"/>
  <c r="R43" i="128"/>
  <c r="I19" i="146"/>
  <c r="G14" i="168" l="1"/>
  <c r="H14" i="168"/>
  <c r="G15" i="168"/>
  <c r="H15" i="168"/>
  <c r="G16" i="168"/>
  <c r="H16" i="168"/>
  <c r="G17" i="168"/>
  <c r="H17" i="168"/>
  <c r="G18" i="168"/>
  <c r="H18" i="168"/>
  <c r="G19" i="168"/>
  <c r="H19" i="168"/>
  <c r="H20" i="168"/>
  <c r="G20" i="168" l="1"/>
  <c r="L19" i="146" l="1"/>
  <c r="L20" i="146"/>
  <c r="L21" i="146"/>
  <c r="L22" i="146"/>
  <c r="L23" i="146"/>
  <c r="L24" i="146"/>
  <c r="L25" i="146"/>
  <c r="J19" i="146"/>
  <c r="J20" i="146"/>
  <c r="J21" i="146"/>
  <c r="J22" i="146"/>
  <c r="J23" i="146"/>
  <c r="J24" i="146"/>
  <c r="J25" i="146"/>
  <c r="F19" i="146"/>
  <c r="F20" i="146"/>
  <c r="F21" i="146"/>
  <c r="F22" i="146"/>
  <c r="F23" i="146"/>
  <c r="F24" i="146"/>
  <c r="F25" i="146"/>
  <c r="C20" i="146"/>
  <c r="C21" i="146"/>
  <c r="C22" i="146"/>
  <c r="C23" i="146"/>
  <c r="C24" i="146"/>
  <c r="C25" i="146"/>
  <c r="B50" i="181" l="1"/>
  <c r="E23" i="146" l="1"/>
  <c r="G23" i="146" s="1"/>
  <c r="G9" i="107" l="1"/>
  <c r="R18" i="122" l="1"/>
  <c r="O19" i="122"/>
  <c r="L18" i="122"/>
  <c r="G18" i="122"/>
  <c r="D18" i="122"/>
  <c r="O20" i="146"/>
  <c r="K19" i="146"/>
  <c r="M25" i="146"/>
  <c r="M24" i="146"/>
  <c r="M23" i="146"/>
  <c r="M22" i="146"/>
  <c r="M21" i="146"/>
  <c r="M20" i="146"/>
  <c r="M19" i="146"/>
  <c r="H25" i="146"/>
  <c r="H24" i="146"/>
  <c r="H23" i="146"/>
  <c r="H22" i="146"/>
  <c r="H21" i="146"/>
  <c r="H20" i="146"/>
  <c r="H19" i="146"/>
  <c r="B23" i="146"/>
  <c r="T23" i="146"/>
  <c r="S23" i="146"/>
  <c r="T20" i="146"/>
  <c r="S20" i="146"/>
  <c r="T19" i="146"/>
  <c r="S19" i="146"/>
  <c r="K20" i="146"/>
  <c r="D20" i="146" l="1"/>
  <c r="T25" i="146"/>
  <c r="S25" i="146"/>
  <c r="Q25" i="146"/>
  <c r="P25" i="146"/>
  <c r="O25" i="146"/>
  <c r="N25" i="146"/>
  <c r="K25" i="146"/>
  <c r="I25" i="146"/>
  <c r="E25" i="146"/>
  <c r="G25" i="146" s="1"/>
  <c r="B25" i="146"/>
  <c r="D25" i="146" s="1"/>
  <c r="T24" i="146"/>
  <c r="S24" i="146"/>
  <c r="Q24" i="146"/>
  <c r="P24" i="146"/>
  <c r="O24" i="146"/>
  <c r="N24" i="146"/>
  <c r="K24" i="146"/>
  <c r="I24" i="146"/>
  <c r="E24" i="146"/>
  <c r="G24" i="146" s="1"/>
  <c r="B24" i="146"/>
  <c r="D24" i="146" s="1"/>
  <c r="Q23" i="146"/>
  <c r="P23" i="146"/>
  <c r="O23" i="146"/>
  <c r="N23" i="146"/>
  <c r="K23" i="146"/>
  <c r="I23" i="146"/>
  <c r="D23" i="146"/>
  <c r="T22" i="146"/>
  <c r="S22" i="146"/>
  <c r="Q22" i="146"/>
  <c r="E26" i="179" s="1"/>
  <c r="P22" i="146"/>
  <c r="O22" i="146"/>
  <c r="K22" i="146"/>
  <c r="H22" i="179" s="1"/>
  <c r="I22" i="146"/>
  <c r="H19" i="179" s="1"/>
  <c r="E22" i="146"/>
  <c r="E22" i="179" s="1"/>
  <c r="B22" i="146"/>
  <c r="E19" i="179" s="1"/>
  <c r="T21" i="146"/>
  <c r="S21" i="146"/>
  <c r="Q21" i="146"/>
  <c r="P21" i="146"/>
  <c r="O21" i="146"/>
  <c r="N21" i="146"/>
  <c r="K21" i="146"/>
  <c r="I21" i="146"/>
  <c r="E21" i="146"/>
  <c r="Q20" i="146"/>
  <c r="P20" i="146"/>
  <c r="N20" i="146"/>
  <c r="I20" i="146"/>
  <c r="E20" i="146"/>
  <c r="Q19" i="146"/>
  <c r="P19" i="146"/>
  <c r="O19" i="146"/>
  <c r="N19" i="146"/>
  <c r="E19" i="146"/>
  <c r="D19" i="146"/>
  <c r="G20" i="146" l="1"/>
  <c r="R19" i="146"/>
  <c r="G19" i="146"/>
  <c r="D22" i="146"/>
  <c r="E20" i="179" s="1"/>
  <c r="R22" i="146"/>
  <c r="E27" i="179" s="1"/>
  <c r="G22" i="146"/>
  <c r="E23" i="179" s="1"/>
  <c r="R23" i="146"/>
  <c r="R20" i="146"/>
  <c r="D21" i="146"/>
  <c r="R21" i="146"/>
  <c r="G21" i="146"/>
  <c r="R24" i="146"/>
  <c r="R25" i="146"/>
  <c r="B36" i="170" l="1"/>
  <c r="B35" i="170"/>
  <c r="B30" i="170"/>
  <c r="B29" i="170"/>
  <c r="B28" i="170"/>
  <c r="B27" i="170"/>
  <c r="B26" i="170"/>
  <c r="B25" i="170"/>
  <c r="B24" i="170"/>
  <c r="B23" i="170"/>
  <c r="B22" i="170"/>
  <c r="B17" i="170"/>
  <c r="B16" i="170"/>
  <c r="B15" i="170"/>
  <c r="B14" i="170"/>
  <c r="B13" i="170"/>
  <c r="B12" i="170"/>
  <c r="B11" i="170"/>
  <c r="B10" i="170"/>
  <c r="B9" i="170"/>
  <c r="B8" i="170"/>
  <c r="B7" i="170"/>
  <c r="B6" i="170"/>
  <c r="B5" i="170"/>
  <c r="B3" i="170"/>
  <c r="A5" i="170"/>
  <c r="A6" i="170"/>
  <c r="A7" i="170"/>
  <c r="A8" i="170"/>
  <c r="A9" i="170"/>
  <c r="A10" i="170"/>
  <c r="A11" i="170"/>
  <c r="A12" i="170"/>
  <c r="A13" i="170"/>
  <c r="A14" i="170"/>
  <c r="A15" i="170"/>
  <c r="A16" i="170"/>
  <c r="A17" i="170"/>
  <c r="A22" i="170"/>
  <c r="A23" i="170"/>
  <c r="A24" i="170"/>
  <c r="A25" i="170"/>
  <c r="A26" i="170"/>
  <c r="A27" i="170"/>
  <c r="A28" i="170"/>
  <c r="A29" i="170"/>
  <c r="A30" i="170"/>
  <c r="A35" i="170"/>
  <c r="A36" i="170"/>
  <c r="A3" i="170"/>
  <c r="A1" i="179"/>
  <c r="B4" i="126" l="1"/>
  <c r="B4" i="161"/>
  <c r="B4" i="162"/>
  <c r="B4" i="163"/>
  <c r="B4" i="141" l="1"/>
  <c r="B4" i="140"/>
  <c r="B4" i="139"/>
  <c r="B4" i="120"/>
  <c r="A3" i="141"/>
  <c r="A1" i="141" s="1"/>
  <c r="A3" i="120"/>
  <c r="A1" i="120" s="1"/>
  <c r="A3" i="140"/>
  <c r="A1" i="140" s="1"/>
  <c r="A3" i="139"/>
  <c r="A1" i="139" s="1"/>
  <c r="I19" i="147" l="1"/>
  <c r="A4" i="128"/>
  <c r="A30" i="128" s="1"/>
  <c r="D4" i="108" l="1"/>
  <c r="D34" i="108" s="1"/>
  <c r="I34" i="108" s="1"/>
  <c r="D4" i="109"/>
  <c r="D34" i="109" s="1"/>
  <c r="I34" i="109" s="1"/>
  <c r="D4" i="110"/>
  <c r="D34" i="110" s="1"/>
  <c r="I34" i="110" s="1"/>
  <c r="D4" i="111"/>
  <c r="D34" i="111" s="1"/>
  <c r="I34" i="111" s="1"/>
  <c r="D4" i="112"/>
  <c r="D34" i="112" s="1"/>
  <c r="I34" i="112" s="1"/>
  <c r="D4" i="113"/>
  <c r="D34" i="113" s="1"/>
  <c r="I34" i="113" s="1"/>
  <c r="D4" i="107"/>
  <c r="D34" i="107" s="1"/>
  <c r="I34" i="107" s="1"/>
  <c r="D3" i="167"/>
  <c r="I3" i="167" s="1"/>
  <c r="D3" i="166"/>
  <c r="I3" i="166" s="1"/>
  <c r="D3" i="168"/>
  <c r="I3" i="168" s="1"/>
  <c r="D3" i="165"/>
  <c r="I3" i="165" s="1"/>
  <c r="C41" i="167" l="1"/>
  <c r="I41" i="165"/>
  <c r="I41" i="167"/>
  <c r="C41" i="165"/>
  <c r="C41" i="168"/>
  <c r="I41" i="168"/>
  <c r="C41" i="166"/>
  <c r="I41" i="166"/>
  <c r="A3" i="133"/>
  <c r="D4" i="116"/>
  <c r="A3" i="145" l="1"/>
  <c r="A3" i="147"/>
  <c r="A4" i="146"/>
  <c r="B6" i="146" s="1"/>
  <c r="A3" i="122"/>
  <c r="E4" i="170" l="1"/>
  <c r="A4" i="170" l="1"/>
  <c r="B4" i="170"/>
  <c r="B22" i="122"/>
  <c r="B23" i="147" l="1"/>
  <c r="H23" i="147"/>
  <c r="H14" i="116" l="1"/>
  <c r="F23" i="120" s="1"/>
  <c r="E28" i="165" l="1"/>
  <c r="E29" i="165"/>
  <c r="E30" i="165"/>
  <c r="E31" i="165"/>
  <c r="E32" i="165"/>
  <c r="E33" i="165"/>
  <c r="E28" i="167"/>
  <c r="E29" i="167"/>
  <c r="E30" i="167"/>
  <c r="E31" i="167"/>
  <c r="E32" i="167"/>
  <c r="E33" i="167"/>
  <c r="E28" i="166"/>
  <c r="E29" i="166"/>
  <c r="E30" i="166"/>
  <c r="E31" i="166"/>
  <c r="E32" i="166"/>
  <c r="E33" i="166"/>
  <c r="E34" i="166" l="1"/>
  <c r="E34" i="165"/>
  <c r="E34" i="167"/>
  <c r="G40" i="145"/>
  <c r="G37" i="145"/>
  <c r="G21" i="107" l="1"/>
  <c r="H56" i="113" l="1"/>
  <c r="H16" i="179" l="1"/>
  <c r="H14" i="179"/>
  <c r="H13" i="179"/>
  <c r="H12" i="179"/>
  <c r="H10" i="179"/>
  <c r="H9" i="179"/>
  <c r="E16" i="179"/>
  <c r="E14" i="179"/>
  <c r="E13" i="179"/>
  <c r="E12" i="179"/>
  <c r="E10" i="179"/>
  <c r="E9" i="179"/>
  <c r="E36" i="170" l="1"/>
  <c r="E30" i="170"/>
  <c r="E29" i="170"/>
  <c r="E28" i="170"/>
  <c r="E27" i="170"/>
  <c r="E26" i="170"/>
  <c r="E25" i="170"/>
  <c r="E17" i="170"/>
  <c r="E16" i="170"/>
  <c r="E15" i="170"/>
  <c r="E14" i="170"/>
  <c r="E24" i="170"/>
  <c r="E13" i="170"/>
  <c r="E9" i="170"/>
  <c r="E6" i="170"/>
  <c r="R49" i="128" l="1"/>
  <c r="Q49" i="128"/>
  <c r="P49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B49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B48" i="128"/>
  <c r="R47" i="128"/>
  <c r="Q47" i="128"/>
  <c r="P47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B47" i="128"/>
  <c r="R46" i="128"/>
  <c r="Q46" i="128"/>
  <c r="P46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B46" i="128"/>
  <c r="R45" i="128"/>
  <c r="Q45" i="128"/>
  <c r="P45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B45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B44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B43" i="128"/>
  <c r="E35" i="170" l="1"/>
  <c r="E22" i="170"/>
  <c r="E11" i="170"/>
  <c r="E10" i="170"/>
  <c r="E7" i="170"/>
  <c r="N30" i="146" l="1"/>
  <c r="O30" i="146"/>
  <c r="N31" i="146"/>
  <c r="O31" i="146"/>
  <c r="N32" i="146"/>
  <c r="O32" i="146"/>
  <c r="N33" i="146"/>
  <c r="O33" i="146"/>
  <c r="N34" i="146"/>
  <c r="O34" i="146"/>
  <c r="N35" i="146"/>
  <c r="O35" i="146"/>
  <c r="N36" i="146"/>
  <c r="O36" i="146"/>
  <c r="N37" i="146"/>
  <c r="O37" i="146"/>
  <c r="N38" i="146"/>
  <c r="O38" i="146"/>
  <c r="N39" i="146"/>
  <c r="O39" i="146"/>
  <c r="N40" i="146"/>
  <c r="O40" i="146"/>
  <c r="O29" i="146"/>
  <c r="N29" i="146"/>
  <c r="O28" i="146"/>
  <c r="N28" i="146"/>
  <c r="M30" i="146"/>
  <c r="M31" i="146"/>
  <c r="M32" i="146"/>
  <c r="M33" i="146"/>
  <c r="M34" i="146"/>
  <c r="M35" i="146"/>
  <c r="M36" i="146"/>
  <c r="M37" i="146"/>
  <c r="M38" i="146"/>
  <c r="M39" i="146"/>
  <c r="M40" i="146"/>
  <c r="M29" i="146"/>
  <c r="F30" i="146"/>
  <c r="F31" i="146"/>
  <c r="F32" i="146"/>
  <c r="F33" i="146"/>
  <c r="F34" i="146"/>
  <c r="F35" i="146"/>
  <c r="F36" i="146"/>
  <c r="F37" i="146"/>
  <c r="F38" i="146"/>
  <c r="F39" i="146"/>
  <c r="F40" i="146"/>
  <c r="F29" i="146"/>
  <c r="E30" i="146"/>
  <c r="E31" i="146"/>
  <c r="E32" i="146"/>
  <c r="E33" i="146"/>
  <c r="E34" i="146"/>
  <c r="E35" i="146"/>
  <c r="E36" i="146"/>
  <c r="E37" i="146"/>
  <c r="E38" i="146"/>
  <c r="E39" i="146"/>
  <c r="E40" i="146"/>
  <c r="E29" i="146"/>
  <c r="D40" i="146"/>
  <c r="D30" i="146"/>
  <c r="D31" i="146"/>
  <c r="D32" i="146"/>
  <c r="D33" i="146"/>
  <c r="D34" i="146"/>
  <c r="D35" i="146"/>
  <c r="D36" i="146"/>
  <c r="D37" i="146"/>
  <c r="D38" i="146"/>
  <c r="D39" i="146"/>
  <c r="D29" i="146"/>
  <c r="O31" i="122"/>
  <c r="N29" i="122"/>
  <c r="O29" i="122"/>
  <c r="N30" i="122"/>
  <c r="O30" i="122"/>
  <c r="N31" i="122"/>
  <c r="N32" i="122"/>
  <c r="O32" i="122"/>
  <c r="N33" i="122"/>
  <c r="O33" i="122"/>
  <c r="N34" i="122"/>
  <c r="O34" i="122"/>
  <c r="N35" i="122"/>
  <c r="O35" i="122"/>
  <c r="N36" i="122"/>
  <c r="O36" i="122"/>
  <c r="N37" i="122"/>
  <c r="O37" i="122"/>
  <c r="N38" i="122"/>
  <c r="O38" i="122"/>
  <c r="N39" i="122"/>
  <c r="O39" i="122"/>
  <c r="O28" i="122"/>
  <c r="N28" i="122"/>
  <c r="M29" i="122"/>
  <c r="M30" i="122"/>
  <c r="M31" i="122"/>
  <c r="M32" i="122"/>
  <c r="M33" i="122"/>
  <c r="M34" i="122"/>
  <c r="M35" i="122"/>
  <c r="M36" i="122"/>
  <c r="M37" i="122"/>
  <c r="M38" i="122"/>
  <c r="M39" i="122"/>
  <c r="M28" i="122"/>
  <c r="F29" i="122"/>
  <c r="F30" i="122"/>
  <c r="F31" i="122"/>
  <c r="F32" i="122"/>
  <c r="F33" i="122"/>
  <c r="F34" i="122"/>
  <c r="F35" i="122"/>
  <c r="F36" i="122"/>
  <c r="F37" i="122"/>
  <c r="F38" i="122"/>
  <c r="F39" i="122"/>
  <c r="F28" i="122"/>
  <c r="E29" i="122"/>
  <c r="E30" i="122"/>
  <c r="E31" i="122"/>
  <c r="E32" i="122"/>
  <c r="E33" i="122"/>
  <c r="E34" i="122"/>
  <c r="E35" i="122"/>
  <c r="E36" i="122"/>
  <c r="E37" i="122"/>
  <c r="E38" i="122"/>
  <c r="E39" i="122"/>
  <c r="E28" i="122"/>
  <c r="D38" i="122"/>
  <c r="D39" i="122"/>
  <c r="D29" i="122"/>
  <c r="D30" i="122"/>
  <c r="D31" i="122"/>
  <c r="D32" i="122"/>
  <c r="D33" i="122"/>
  <c r="D34" i="122"/>
  <c r="D35" i="122"/>
  <c r="D36" i="122"/>
  <c r="D37" i="122"/>
  <c r="D28" i="122"/>
  <c r="E23" i="170" l="1"/>
  <c r="E12" i="170"/>
  <c r="E8" i="170"/>
  <c r="E5" i="170"/>
  <c r="E3" i="170"/>
  <c r="A57" i="108" l="1"/>
  <c r="A57" i="109"/>
  <c r="A57" i="110"/>
  <c r="A57" i="111"/>
  <c r="A57" i="112"/>
  <c r="A57" i="113"/>
  <c r="A57" i="107"/>
  <c r="A51" i="108"/>
  <c r="A51" i="109"/>
  <c r="A51" i="110"/>
  <c r="A51" i="111"/>
  <c r="A51" i="112"/>
  <c r="A51" i="113"/>
  <c r="A51" i="107"/>
  <c r="A45" i="108"/>
  <c r="A45" i="109"/>
  <c r="A45" i="110"/>
  <c r="A45" i="111"/>
  <c r="A45" i="112"/>
  <c r="A45" i="113"/>
  <c r="A45" i="107"/>
  <c r="A39" i="108"/>
  <c r="A39" i="109"/>
  <c r="A39" i="110"/>
  <c r="A39" i="111"/>
  <c r="A39" i="112"/>
  <c r="A39" i="113"/>
  <c r="A39" i="107"/>
  <c r="A27" i="108"/>
  <c r="A27" i="109"/>
  <c r="A27" i="110"/>
  <c r="A27" i="111"/>
  <c r="A27" i="112"/>
  <c r="A27" i="113"/>
  <c r="A27" i="107"/>
  <c r="A21" i="108"/>
  <c r="A21" i="109"/>
  <c r="A21" i="110"/>
  <c r="A21" i="111"/>
  <c r="A21" i="112"/>
  <c r="A21" i="113"/>
  <c r="A21" i="107"/>
  <c r="A15" i="108"/>
  <c r="A15" i="109"/>
  <c r="A15" i="110"/>
  <c r="A15" i="111"/>
  <c r="A15" i="112"/>
  <c r="A15" i="113"/>
  <c r="A15" i="107"/>
  <c r="A9" i="108"/>
  <c r="A9" i="109"/>
  <c r="A9" i="110"/>
  <c r="A9" i="111"/>
  <c r="A9" i="112"/>
  <c r="A9" i="113"/>
  <c r="A9" i="107"/>
  <c r="C7" i="162"/>
  <c r="D7" i="162"/>
  <c r="C8" i="162"/>
  <c r="D8" i="162"/>
  <c r="C9" i="162"/>
  <c r="D9" i="162"/>
  <c r="C10" i="162"/>
  <c r="D10" i="162"/>
  <c r="B10" i="162"/>
  <c r="B9" i="162"/>
  <c r="B8" i="162"/>
  <c r="B7" i="162"/>
  <c r="C10" i="161"/>
  <c r="D10" i="161"/>
  <c r="B10" i="161"/>
  <c r="C9" i="161"/>
  <c r="D9" i="161"/>
  <c r="B9" i="161"/>
  <c r="C8" i="161"/>
  <c r="D8" i="161"/>
  <c r="B8" i="161"/>
  <c r="C7" i="161"/>
  <c r="D7" i="161"/>
  <c r="B7" i="161"/>
  <c r="E34" i="170" l="1"/>
  <c r="D11" i="161"/>
  <c r="E32" i="170"/>
  <c r="E33" i="170"/>
  <c r="E31" i="170"/>
  <c r="C10" i="126"/>
  <c r="D10" i="126"/>
  <c r="B10" i="126"/>
  <c r="C9" i="126"/>
  <c r="D9" i="126"/>
  <c r="B9" i="126"/>
  <c r="C8" i="126"/>
  <c r="D8" i="126"/>
  <c r="B8" i="126"/>
  <c r="C7" i="126"/>
  <c r="D7" i="126"/>
  <c r="B7" i="126"/>
  <c r="A3" i="163"/>
  <c r="A1" i="163" s="1"/>
  <c r="A3" i="162"/>
  <c r="A3" i="161"/>
  <c r="A3" i="126"/>
  <c r="D44" i="168"/>
  <c r="C44" i="168"/>
  <c r="D43" i="168"/>
  <c r="C43" i="168"/>
  <c r="D42" i="168"/>
  <c r="C42" i="168"/>
  <c r="J33" i="168"/>
  <c r="I33" i="168"/>
  <c r="F33" i="168"/>
  <c r="E33" i="168"/>
  <c r="J32" i="168"/>
  <c r="I32" i="168"/>
  <c r="F32" i="168"/>
  <c r="E32" i="168"/>
  <c r="D32" i="168"/>
  <c r="J31" i="168"/>
  <c r="I31" i="168"/>
  <c r="F31" i="168"/>
  <c r="E31" i="168"/>
  <c r="D31" i="168"/>
  <c r="J30" i="168"/>
  <c r="I30" i="168"/>
  <c r="F30" i="168"/>
  <c r="E30" i="168"/>
  <c r="D30" i="168"/>
  <c r="J29" i="168"/>
  <c r="I29" i="168"/>
  <c r="F29" i="168"/>
  <c r="E29" i="168"/>
  <c r="D29" i="168"/>
  <c r="J28" i="168"/>
  <c r="I28" i="168"/>
  <c r="F28" i="168"/>
  <c r="E28" i="168"/>
  <c r="D28" i="168"/>
  <c r="A28" i="168"/>
  <c r="A37" i="168" s="1"/>
  <c r="H27" i="168"/>
  <c r="F10" i="162" s="1"/>
  <c r="K26" i="168"/>
  <c r="H26" i="168"/>
  <c r="G26" i="168"/>
  <c r="K25" i="168"/>
  <c r="G25" i="168"/>
  <c r="K24" i="168"/>
  <c r="H24" i="168"/>
  <c r="G24" i="168"/>
  <c r="K23" i="168"/>
  <c r="H23" i="168"/>
  <c r="G23" i="168"/>
  <c r="K22" i="168"/>
  <c r="H22" i="168"/>
  <c r="G22" i="168"/>
  <c r="K21" i="168"/>
  <c r="H21" i="168"/>
  <c r="G21" i="168"/>
  <c r="A21" i="168"/>
  <c r="B44" i="168" s="1"/>
  <c r="F10" i="161"/>
  <c r="K19" i="168"/>
  <c r="K18" i="168"/>
  <c r="K17" i="168"/>
  <c r="K16" i="168"/>
  <c r="K15" i="168"/>
  <c r="K14" i="168"/>
  <c r="A14" i="168"/>
  <c r="H43" i="168" s="1"/>
  <c r="H13" i="168"/>
  <c r="F10" i="126" s="1"/>
  <c r="H12" i="168"/>
  <c r="G12" i="168"/>
  <c r="H11" i="168"/>
  <c r="G11" i="168"/>
  <c r="H10" i="168"/>
  <c r="G10" i="168"/>
  <c r="H9" i="168"/>
  <c r="G9" i="168"/>
  <c r="H8" i="168"/>
  <c r="G8" i="168"/>
  <c r="H7" i="168"/>
  <c r="G7" i="168"/>
  <c r="A7" i="168"/>
  <c r="B42" i="168" s="1"/>
  <c r="D44" i="167"/>
  <c r="C44" i="167"/>
  <c r="D43" i="167"/>
  <c r="C43" i="167"/>
  <c r="D42" i="167"/>
  <c r="C42" i="167"/>
  <c r="F33" i="167"/>
  <c r="F32" i="167"/>
  <c r="D32" i="167"/>
  <c r="F31" i="167"/>
  <c r="D31" i="167"/>
  <c r="F30" i="167"/>
  <c r="D30" i="167"/>
  <c r="F29" i="167"/>
  <c r="D29" i="167"/>
  <c r="F28" i="167"/>
  <c r="D28" i="167"/>
  <c r="A28" i="167"/>
  <c r="A37" i="167" s="1"/>
  <c r="H27" i="167"/>
  <c r="F8" i="162" s="1"/>
  <c r="K26" i="167"/>
  <c r="H26" i="167"/>
  <c r="G26" i="167"/>
  <c r="K25" i="167"/>
  <c r="H25" i="167"/>
  <c r="G25" i="167"/>
  <c r="K24" i="167"/>
  <c r="H24" i="167"/>
  <c r="G24" i="167"/>
  <c r="K23" i="167"/>
  <c r="H23" i="167"/>
  <c r="G23" i="167"/>
  <c r="K22" i="167"/>
  <c r="H22" i="167"/>
  <c r="G22" i="167"/>
  <c r="K21" i="167"/>
  <c r="H21" i="167"/>
  <c r="G21" i="167"/>
  <c r="A21" i="167"/>
  <c r="B44" i="167" s="1"/>
  <c r="H20" i="167"/>
  <c r="F8" i="161" s="1"/>
  <c r="K19" i="167"/>
  <c r="H19" i="167"/>
  <c r="G19" i="167"/>
  <c r="K18" i="167"/>
  <c r="H18" i="167"/>
  <c r="G18" i="167"/>
  <c r="K17" i="167"/>
  <c r="H17" i="167"/>
  <c r="G17" i="167"/>
  <c r="K16" i="167"/>
  <c r="H16" i="167"/>
  <c r="G16" i="167"/>
  <c r="K15" i="167"/>
  <c r="H15" i="167"/>
  <c r="G15" i="167"/>
  <c r="K14" i="167"/>
  <c r="H14" i="167"/>
  <c r="G14" i="167"/>
  <c r="A14" i="167"/>
  <c r="H43" i="167" s="1"/>
  <c r="H13" i="167"/>
  <c r="F8" i="126" s="1"/>
  <c r="K12" i="167"/>
  <c r="H12" i="167"/>
  <c r="G12" i="167"/>
  <c r="K11" i="167"/>
  <c r="H11" i="167"/>
  <c r="G11" i="167"/>
  <c r="K10" i="167"/>
  <c r="H10" i="167"/>
  <c r="G10" i="167"/>
  <c r="K9" i="167"/>
  <c r="H9" i="167"/>
  <c r="G9" i="167"/>
  <c r="K8" i="167"/>
  <c r="H8" i="167"/>
  <c r="G8" i="167"/>
  <c r="K7" i="167"/>
  <c r="H7" i="167"/>
  <c r="G7" i="167"/>
  <c r="A7" i="167"/>
  <c r="B42" i="167" s="1"/>
  <c r="D44" i="166"/>
  <c r="C44" i="166"/>
  <c r="D43" i="166"/>
  <c r="C43" i="166"/>
  <c r="D42" i="166"/>
  <c r="C42" i="166"/>
  <c r="J33" i="166"/>
  <c r="I33" i="166"/>
  <c r="F33" i="166"/>
  <c r="J32" i="166"/>
  <c r="I32" i="166"/>
  <c r="F32" i="166"/>
  <c r="D32" i="166"/>
  <c r="J31" i="166"/>
  <c r="I31" i="166"/>
  <c r="F31" i="166"/>
  <c r="D31" i="166"/>
  <c r="J30" i="166"/>
  <c r="I30" i="166"/>
  <c r="F30" i="166"/>
  <c r="D30" i="166"/>
  <c r="J29" i="166"/>
  <c r="I29" i="166"/>
  <c r="F29" i="166"/>
  <c r="D29" i="166"/>
  <c r="J28" i="166"/>
  <c r="I28" i="166"/>
  <c r="F28" i="166"/>
  <c r="D28" i="166"/>
  <c r="A28" i="166"/>
  <c r="A37" i="166" s="1"/>
  <c r="H27" i="166"/>
  <c r="F9" i="162" s="1"/>
  <c r="K26" i="166"/>
  <c r="H26" i="166"/>
  <c r="G26" i="166"/>
  <c r="K25" i="166"/>
  <c r="H25" i="166"/>
  <c r="G25" i="166"/>
  <c r="K24" i="166"/>
  <c r="H24" i="166"/>
  <c r="G24" i="166"/>
  <c r="K23" i="166"/>
  <c r="H23" i="166"/>
  <c r="G23" i="166"/>
  <c r="K22" i="166"/>
  <c r="H22" i="166"/>
  <c r="G22" i="166"/>
  <c r="K21" i="166"/>
  <c r="H21" i="166"/>
  <c r="G21" i="166"/>
  <c r="A21" i="166"/>
  <c r="B44" i="166" s="1"/>
  <c r="H20" i="166"/>
  <c r="F9" i="161" s="1"/>
  <c r="K19" i="166"/>
  <c r="H19" i="166"/>
  <c r="G19" i="166"/>
  <c r="K18" i="166"/>
  <c r="H18" i="166"/>
  <c r="G18" i="166"/>
  <c r="K17" i="166"/>
  <c r="H17" i="166"/>
  <c r="G17" i="166"/>
  <c r="K16" i="166"/>
  <c r="H16" i="166"/>
  <c r="G16" i="166"/>
  <c r="K15" i="166"/>
  <c r="H15" i="166"/>
  <c r="G15" i="166"/>
  <c r="K14" i="166"/>
  <c r="H14" i="166"/>
  <c r="G14" i="166"/>
  <c r="A14" i="166"/>
  <c r="H43" i="166" s="1"/>
  <c r="H13" i="166"/>
  <c r="F9" i="126" s="1"/>
  <c r="K12" i="166"/>
  <c r="H12" i="166"/>
  <c r="G12" i="166"/>
  <c r="K11" i="166"/>
  <c r="H11" i="166"/>
  <c r="G11" i="166"/>
  <c r="K10" i="166"/>
  <c r="H10" i="166"/>
  <c r="G10" i="166"/>
  <c r="K9" i="166"/>
  <c r="H9" i="166"/>
  <c r="G9" i="166"/>
  <c r="K8" i="166"/>
  <c r="H8" i="166"/>
  <c r="G8" i="166"/>
  <c r="K7" i="166"/>
  <c r="H7" i="166"/>
  <c r="G7" i="166"/>
  <c r="A7" i="166"/>
  <c r="B42" i="166" s="1"/>
  <c r="D44" i="165"/>
  <c r="C44" i="165"/>
  <c r="D43" i="165"/>
  <c r="C43" i="165"/>
  <c r="D42" i="165"/>
  <c r="C42" i="165"/>
  <c r="J33" i="165"/>
  <c r="I33" i="165"/>
  <c r="F33" i="165"/>
  <c r="J32" i="165"/>
  <c r="I32" i="165"/>
  <c r="F32" i="165"/>
  <c r="D32" i="165"/>
  <c r="J31" i="165"/>
  <c r="I31" i="165"/>
  <c r="F31" i="165"/>
  <c r="D31" i="165"/>
  <c r="J30" i="165"/>
  <c r="I30" i="165"/>
  <c r="F30" i="165"/>
  <c r="D30" i="165"/>
  <c r="J29" i="165"/>
  <c r="I29" i="165"/>
  <c r="F29" i="165"/>
  <c r="D29" i="165"/>
  <c r="J28" i="165"/>
  <c r="I28" i="165"/>
  <c r="F28" i="165"/>
  <c r="D28" i="165"/>
  <c r="A28" i="165"/>
  <c r="A37" i="165" s="1"/>
  <c r="H27" i="165"/>
  <c r="F7" i="162" s="1"/>
  <c r="K26" i="165"/>
  <c r="H26" i="165"/>
  <c r="G26" i="165"/>
  <c r="K25" i="165"/>
  <c r="H25" i="165"/>
  <c r="G25" i="165"/>
  <c r="K24" i="165"/>
  <c r="H24" i="165"/>
  <c r="G24" i="165"/>
  <c r="K23" i="165"/>
  <c r="H23" i="165"/>
  <c r="G23" i="165"/>
  <c r="K22" i="165"/>
  <c r="H22" i="165"/>
  <c r="G22" i="165"/>
  <c r="K21" i="165"/>
  <c r="H21" i="165"/>
  <c r="G21" i="165"/>
  <c r="A21" i="165"/>
  <c r="B44" i="165" s="1"/>
  <c r="H20" i="165"/>
  <c r="F7" i="161" s="1"/>
  <c r="K19" i="165"/>
  <c r="H19" i="165"/>
  <c r="G19" i="165"/>
  <c r="K18" i="165"/>
  <c r="H18" i="165"/>
  <c r="G18" i="165"/>
  <c r="K17" i="165"/>
  <c r="H17" i="165"/>
  <c r="G17" i="165"/>
  <c r="K16" i="165"/>
  <c r="H16" i="165"/>
  <c r="G16" i="165"/>
  <c r="K15" i="165"/>
  <c r="H15" i="165"/>
  <c r="G15" i="165"/>
  <c r="K14" i="165"/>
  <c r="H14" i="165"/>
  <c r="G14" i="165"/>
  <c r="A14" i="165"/>
  <c r="B43" i="165" s="1"/>
  <c r="H13" i="165"/>
  <c r="F7" i="126" s="1"/>
  <c r="K12" i="165"/>
  <c r="H12" i="165"/>
  <c r="G12" i="165"/>
  <c r="K11" i="165"/>
  <c r="H11" i="165"/>
  <c r="G11" i="165"/>
  <c r="K10" i="165"/>
  <c r="H10" i="165"/>
  <c r="G10" i="165"/>
  <c r="K9" i="165"/>
  <c r="H9" i="165"/>
  <c r="G9" i="165"/>
  <c r="K8" i="165"/>
  <c r="H8" i="165"/>
  <c r="G8" i="165"/>
  <c r="K7" i="165"/>
  <c r="H7" i="165"/>
  <c r="G7" i="165"/>
  <c r="A7" i="165"/>
  <c r="B42" i="165" s="1"/>
  <c r="A29" i="116"/>
  <c r="A22" i="116"/>
  <c r="A15" i="116"/>
  <c r="A8" i="116"/>
  <c r="H3" i="145"/>
  <c r="E3" i="145"/>
  <c r="B3" i="145"/>
  <c r="B41" i="145" s="1"/>
  <c r="A34" i="170" l="1"/>
  <c r="B34" i="170"/>
  <c r="A1" i="162"/>
  <c r="E20" i="170" s="1"/>
  <c r="B32" i="170"/>
  <c r="A32" i="170"/>
  <c r="A33" i="170"/>
  <c r="B33" i="170"/>
  <c r="A1" i="161"/>
  <c r="E19" i="170" s="1"/>
  <c r="A1" i="126"/>
  <c r="E18" i="170" s="1"/>
  <c r="A31" i="170"/>
  <c r="B31" i="170"/>
  <c r="C45" i="167"/>
  <c r="E21" i="170"/>
  <c r="H28" i="166"/>
  <c r="H32" i="166"/>
  <c r="H28" i="167"/>
  <c r="H32" i="167"/>
  <c r="H29" i="167"/>
  <c r="C11" i="126"/>
  <c r="E8" i="126" s="1"/>
  <c r="H32" i="165"/>
  <c r="H33" i="165"/>
  <c r="H28" i="168"/>
  <c r="B11" i="126"/>
  <c r="C45" i="166"/>
  <c r="D45" i="167"/>
  <c r="H30" i="166"/>
  <c r="D45" i="166"/>
  <c r="K20" i="168"/>
  <c r="K27" i="168"/>
  <c r="H30" i="168"/>
  <c r="C45" i="168"/>
  <c r="K20" i="165"/>
  <c r="C7" i="163"/>
  <c r="G13" i="166"/>
  <c r="G27" i="166"/>
  <c r="D34" i="166"/>
  <c r="B9" i="163" s="1"/>
  <c r="H29" i="168"/>
  <c r="D41" i="168"/>
  <c r="G37" i="168"/>
  <c r="D34" i="167"/>
  <c r="B8" i="163" s="1"/>
  <c r="I34" i="165"/>
  <c r="K20" i="166"/>
  <c r="K27" i="166"/>
  <c r="H31" i="166"/>
  <c r="H31" i="167"/>
  <c r="G13" i="168"/>
  <c r="G27" i="168"/>
  <c r="D34" i="168"/>
  <c r="B10" i="163" s="1"/>
  <c r="H32" i="168"/>
  <c r="D45" i="168"/>
  <c r="H31" i="165"/>
  <c r="H29" i="166"/>
  <c r="H30" i="167"/>
  <c r="J34" i="168"/>
  <c r="G37" i="165"/>
  <c r="D41" i="166"/>
  <c r="J41" i="165"/>
  <c r="D41" i="167"/>
  <c r="G37" i="166"/>
  <c r="H43" i="165"/>
  <c r="G37" i="167"/>
  <c r="H31" i="168"/>
  <c r="F34" i="168"/>
  <c r="D10" i="163" s="1"/>
  <c r="F34" i="166"/>
  <c r="D9" i="163" s="1"/>
  <c r="G20" i="166"/>
  <c r="J34" i="166"/>
  <c r="K13" i="166"/>
  <c r="K13" i="167"/>
  <c r="K20" i="167"/>
  <c r="K27" i="167"/>
  <c r="G13" i="167"/>
  <c r="G20" i="167"/>
  <c r="G27" i="167"/>
  <c r="F34" i="167"/>
  <c r="D8" i="163" s="1"/>
  <c r="K13" i="165"/>
  <c r="K27" i="165"/>
  <c r="G20" i="165"/>
  <c r="G27" i="165"/>
  <c r="H33" i="168"/>
  <c r="B43" i="168"/>
  <c r="E34" i="168"/>
  <c r="I34" i="168"/>
  <c r="K28" i="168" s="1"/>
  <c r="H42" i="168"/>
  <c r="H44" i="168"/>
  <c r="H33" i="167"/>
  <c r="B43" i="167"/>
  <c r="K32" i="167"/>
  <c r="H42" i="167"/>
  <c r="H44" i="167"/>
  <c r="H33" i="166"/>
  <c r="B43" i="166"/>
  <c r="I34" i="166"/>
  <c r="K31" i="166" s="1"/>
  <c r="H42" i="166"/>
  <c r="H44" i="166"/>
  <c r="H29" i="165"/>
  <c r="D45" i="165"/>
  <c r="H30" i="165"/>
  <c r="J34" i="165"/>
  <c r="G13" i="165"/>
  <c r="F34" i="165"/>
  <c r="C45" i="165"/>
  <c r="D34" i="165"/>
  <c r="H28" i="165"/>
  <c r="H42" i="165"/>
  <c r="H44" i="165"/>
  <c r="B21" i="170" l="1"/>
  <c r="A21" i="170"/>
  <c r="B19" i="170"/>
  <c r="A19" i="170"/>
  <c r="B20" i="170"/>
  <c r="A20" i="170"/>
  <c r="B18" i="170"/>
  <c r="A18" i="170"/>
  <c r="J41" i="166"/>
  <c r="D41" i="165"/>
  <c r="D7" i="163"/>
  <c r="B7" i="163"/>
  <c r="J43" i="165"/>
  <c r="K30" i="165"/>
  <c r="J41" i="168"/>
  <c r="G31" i="165"/>
  <c r="I44" i="165"/>
  <c r="E7" i="126"/>
  <c r="E10" i="126"/>
  <c r="E9" i="126"/>
  <c r="G30" i="165"/>
  <c r="G33" i="165"/>
  <c r="K32" i="165"/>
  <c r="I43" i="165"/>
  <c r="J42" i="165"/>
  <c r="G29" i="165"/>
  <c r="G32" i="165"/>
  <c r="G28" i="165"/>
  <c r="I42" i="165"/>
  <c r="K31" i="165"/>
  <c r="G29" i="166"/>
  <c r="C9" i="163"/>
  <c r="G31" i="167"/>
  <c r="C8" i="163"/>
  <c r="G33" i="168"/>
  <c r="C10" i="163"/>
  <c r="K28" i="165"/>
  <c r="H34" i="165"/>
  <c r="F7" i="163" s="1"/>
  <c r="H33" i="179" s="1"/>
  <c r="K29" i="165"/>
  <c r="J44" i="165"/>
  <c r="K33" i="165"/>
  <c r="J41" i="167"/>
  <c r="G30" i="168"/>
  <c r="K30" i="166"/>
  <c r="K32" i="166"/>
  <c r="G30" i="167"/>
  <c r="I44" i="168"/>
  <c r="I42" i="168"/>
  <c r="I43" i="168"/>
  <c r="H34" i="168"/>
  <c r="F10" i="163" s="1"/>
  <c r="H36" i="179" s="1"/>
  <c r="G32" i="168"/>
  <c r="K32" i="168"/>
  <c r="K29" i="168"/>
  <c r="K30" i="168"/>
  <c r="G31" i="168"/>
  <c r="G28" i="168"/>
  <c r="G29" i="168"/>
  <c r="J44" i="168"/>
  <c r="J42" i="168"/>
  <c r="J43" i="168"/>
  <c r="K33" i="168"/>
  <c r="K31" i="168"/>
  <c r="I44" i="167"/>
  <c r="I42" i="167"/>
  <c r="I43" i="167"/>
  <c r="H34" i="167"/>
  <c r="F8" i="163" s="1"/>
  <c r="H34" i="179" s="1"/>
  <c r="G32" i="167"/>
  <c r="K29" i="167"/>
  <c r="K28" i="167"/>
  <c r="K33" i="167"/>
  <c r="G28" i="167"/>
  <c r="G29" i="167"/>
  <c r="J44" i="167"/>
  <c r="J42" i="167"/>
  <c r="J43" i="167"/>
  <c r="G33" i="167"/>
  <c r="K30" i="167"/>
  <c r="K31" i="167"/>
  <c r="G32" i="166"/>
  <c r="I44" i="166"/>
  <c r="I42" i="166"/>
  <c r="I43" i="166"/>
  <c r="H34" i="166"/>
  <c r="F9" i="163" s="1"/>
  <c r="H35" i="179" s="1"/>
  <c r="G33" i="166"/>
  <c r="G28" i="166"/>
  <c r="K28" i="166"/>
  <c r="G30" i="166"/>
  <c r="J44" i="166"/>
  <c r="J42" i="166"/>
  <c r="J43" i="166"/>
  <c r="K33" i="166"/>
  <c r="G31" i="166"/>
  <c r="K29" i="166"/>
  <c r="G10" i="107"/>
  <c r="G11" i="107"/>
  <c r="G12" i="107"/>
  <c r="G13" i="107"/>
  <c r="G15" i="107"/>
  <c r="G16" i="107"/>
  <c r="G17" i="107"/>
  <c r="G18" i="107"/>
  <c r="G19" i="107"/>
  <c r="G22" i="107"/>
  <c r="G23" i="107"/>
  <c r="G24" i="107"/>
  <c r="G25" i="107"/>
  <c r="G20" i="107" l="1"/>
  <c r="G14" i="107"/>
  <c r="G26" i="107"/>
  <c r="I45" i="165"/>
  <c r="J45" i="165"/>
  <c r="E11" i="126"/>
  <c r="G34" i="165"/>
  <c r="K34" i="165"/>
  <c r="I45" i="167"/>
  <c r="J45" i="167"/>
  <c r="G34" i="166"/>
  <c r="K34" i="168"/>
  <c r="J45" i="168"/>
  <c r="G34" i="168"/>
  <c r="I45" i="168"/>
  <c r="I45" i="166"/>
  <c r="J45" i="166"/>
  <c r="K34" i="166"/>
  <c r="K34" i="167"/>
  <c r="G34" i="167"/>
  <c r="K55" i="113"/>
  <c r="K54" i="113"/>
  <c r="K53" i="113"/>
  <c r="K52" i="113"/>
  <c r="K51" i="113"/>
  <c r="K49" i="113"/>
  <c r="K48" i="113"/>
  <c r="K47" i="113"/>
  <c r="K46" i="113"/>
  <c r="K45" i="113"/>
  <c r="K43" i="113"/>
  <c r="K42" i="113"/>
  <c r="K41" i="113"/>
  <c r="K40" i="113"/>
  <c r="K39" i="113"/>
  <c r="K55" i="112"/>
  <c r="K54" i="112"/>
  <c r="K53" i="112"/>
  <c r="K52" i="112"/>
  <c r="K51" i="112"/>
  <c r="K49" i="112"/>
  <c r="K48" i="112"/>
  <c r="K47" i="112"/>
  <c r="K46" i="112"/>
  <c r="K45" i="112"/>
  <c r="K43" i="112"/>
  <c r="K42" i="112"/>
  <c r="K41" i="112"/>
  <c r="K40" i="112"/>
  <c r="K39" i="112"/>
  <c r="K55" i="111"/>
  <c r="K54" i="111"/>
  <c r="K53" i="111"/>
  <c r="K52" i="111"/>
  <c r="K51" i="111"/>
  <c r="K49" i="111"/>
  <c r="K48" i="111"/>
  <c r="K47" i="111"/>
  <c r="K46" i="111"/>
  <c r="K45" i="111"/>
  <c r="K43" i="111"/>
  <c r="K42" i="111"/>
  <c r="K41" i="111"/>
  <c r="K40" i="111"/>
  <c r="K39" i="111"/>
  <c r="K55" i="110"/>
  <c r="K54" i="110"/>
  <c r="K53" i="110"/>
  <c r="K52" i="110"/>
  <c r="K51" i="110"/>
  <c r="K49" i="110"/>
  <c r="K48" i="110"/>
  <c r="K47" i="110"/>
  <c r="K46" i="110"/>
  <c r="K45" i="110"/>
  <c r="K43" i="110"/>
  <c r="K42" i="110"/>
  <c r="K41" i="110"/>
  <c r="K40" i="110"/>
  <c r="K39" i="110"/>
  <c r="K55" i="109"/>
  <c r="K54" i="109"/>
  <c r="K53" i="109"/>
  <c r="K52" i="109"/>
  <c r="K51" i="109"/>
  <c r="K49" i="109"/>
  <c r="K48" i="109"/>
  <c r="K47" i="109"/>
  <c r="K46" i="109"/>
  <c r="K45" i="109"/>
  <c r="K43" i="109"/>
  <c r="K42" i="109"/>
  <c r="K41" i="109"/>
  <c r="K40" i="109"/>
  <c r="K39" i="109"/>
  <c r="K55" i="108"/>
  <c r="K54" i="108"/>
  <c r="K53" i="108"/>
  <c r="K52" i="108"/>
  <c r="K51" i="108"/>
  <c r="K49" i="108"/>
  <c r="K48" i="108"/>
  <c r="K47" i="108"/>
  <c r="K46" i="108"/>
  <c r="K45" i="108"/>
  <c r="K43" i="108"/>
  <c r="K42" i="108"/>
  <c r="K41" i="108"/>
  <c r="K40" i="108"/>
  <c r="K39" i="108"/>
  <c r="K25" i="113"/>
  <c r="K24" i="113"/>
  <c r="K23" i="113"/>
  <c r="K22" i="113"/>
  <c r="K21" i="113"/>
  <c r="K19" i="113"/>
  <c r="K18" i="113"/>
  <c r="K17" i="113"/>
  <c r="K16" i="113"/>
  <c r="K15" i="113"/>
  <c r="K13" i="113"/>
  <c r="K12" i="113"/>
  <c r="K11" i="113"/>
  <c r="K10" i="113"/>
  <c r="K9" i="113"/>
  <c r="K25" i="112"/>
  <c r="K24" i="112"/>
  <c r="K23" i="112"/>
  <c r="K22" i="112"/>
  <c r="K21" i="112"/>
  <c r="K19" i="112"/>
  <c r="K18" i="112"/>
  <c r="K17" i="112"/>
  <c r="K16" i="112"/>
  <c r="K15" i="112"/>
  <c r="K13" i="112"/>
  <c r="K12" i="112"/>
  <c r="K11" i="112"/>
  <c r="K10" i="112"/>
  <c r="K9" i="112"/>
  <c r="K25" i="111"/>
  <c r="K24" i="111"/>
  <c r="K23" i="111"/>
  <c r="K22" i="111"/>
  <c r="K21" i="111"/>
  <c r="K19" i="111"/>
  <c r="K18" i="111"/>
  <c r="K17" i="111"/>
  <c r="K16" i="111"/>
  <c r="K15" i="111"/>
  <c r="K13" i="111"/>
  <c r="K12" i="111"/>
  <c r="K11" i="111"/>
  <c r="K10" i="111"/>
  <c r="K9" i="111"/>
  <c r="K25" i="110"/>
  <c r="K24" i="110"/>
  <c r="K23" i="110"/>
  <c r="K22" i="110"/>
  <c r="K21" i="110"/>
  <c r="K19" i="110"/>
  <c r="K18" i="110"/>
  <c r="K17" i="110"/>
  <c r="K16" i="110"/>
  <c r="K15" i="110"/>
  <c r="K13" i="110"/>
  <c r="K12" i="110"/>
  <c r="K11" i="110"/>
  <c r="K10" i="110"/>
  <c r="K9" i="110"/>
  <c r="K25" i="109"/>
  <c r="K24" i="109"/>
  <c r="K23" i="109"/>
  <c r="K22" i="109"/>
  <c r="K21" i="109"/>
  <c r="K19" i="109"/>
  <c r="K18" i="109"/>
  <c r="K17" i="109"/>
  <c r="K16" i="109"/>
  <c r="K15" i="109"/>
  <c r="K13" i="109"/>
  <c r="K12" i="109"/>
  <c r="K11" i="109"/>
  <c r="K10" i="109"/>
  <c r="K9" i="109"/>
  <c r="K25" i="108"/>
  <c r="K24" i="108"/>
  <c r="K23" i="108"/>
  <c r="K22" i="108"/>
  <c r="K21" i="108"/>
  <c r="K19" i="108"/>
  <c r="K18" i="108"/>
  <c r="K17" i="108"/>
  <c r="K16" i="108"/>
  <c r="K15" i="108"/>
  <c r="K13" i="108"/>
  <c r="K12" i="108"/>
  <c r="K11" i="108"/>
  <c r="K10" i="108"/>
  <c r="K9" i="108"/>
  <c r="K14" i="112" l="1"/>
  <c r="K44" i="110"/>
  <c r="K56" i="112"/>
  <c r="K26" i="110"/>
  <c r="K56" i="108"/>
  <c r="K20" i="113"/>
  <c r="K14" i="108"/>
  <c r="K44" i="113"/>
  <c r="K50" i="113"/>
  <c r="K56" i="113"/>
  <c r="K26" i="113"/>
  <c r="K14" i="113"/>
  <c r="K44" i="112"/>
  <c r="K50" i="112"/>
  <c r="K20" i="112"/>
  <c r="K26" i="112"/>
  <c r="K50" i="111"/>
  <c r="K56" i="111"/>
  <c r="K44" i="111"/>
  <c r="K14" i="111"/>
  <c r="K20" i="111"/>
  <c r="K26" i="111"/>
  <c r="K50" i="110"/>
  <c r="K56" i="110"/>
  <c r="K14" i="110"/>
  <c r="K20" i="110"/>
  <c r="K44" i="109"/>
  <c r="K50" i="109"/>
  <c r="K56" i="109"/>
  <c r="K14" i="109"/>
  <c r="K20" i="109"/>
  <c r="K26" i="109"/>
  <c r="K44" i="108"/>
  <c r="K50" i="108"/>
  <c r="K20" i="108"/>
  <c r="K26" i="108"/>
  <c r="F40" i="145" l="1"/>
  <c r="D22" i="140" l="1"/>
  <c r="C22" i="140"/>
  <c r="D22" i="139"/>
  <c r="C22" i="139"/>
  <c r="D22" i="120"/>
  <c r="C22" i="120"/>
  <c r="K17" i="107" l="1"/>
  <c r="I27" i="107"/>
  <c r="J61" i="108"/>
  <c r="I61" i="108"/>
  <c r="J60" i="108"/>
  <c r="I60" i="108"/>
  <c r="J59" i="108"/>
  <c r="I59" i="108"/>
  <c r="J58" i="108"/>
  <c r="I58" i="108"/>
  <c r="J57" i="108"/>
  <c r="I57" i="108"/>
  <c r="J61" i="109"/>
  <c r="I61" i="109"/>
  <c r="J60" i="109"/>
  <c r="I60" i="109"/>
  <c r="J59" i="109"/>
  <c r="I59" i="109"/>
  <c r="J58" i="109"/>
  <c r="I58" i="109"/>
  <c r="J57" i="109"/>
  <c r="I57" i="109"/>
  <c r="J61" i="110"/>
  <c r="I61" i="110"/>
  <c r="J60" i="110"/>
  <c r="I60" i="110"/>
  <c r="J59" i="110"/>
  <c r="I59" i="110"/>
  <c r="J58" i="110"/>
  <c r="I58" i="110"/>
  <c r="J57" i="110"/>
  <c r="I57" i="110"/>
  <c r="J61" i="111"/>
  <c r="I61" i="111"/>
  <c r="J60" i="111"/>
  <c r="I60" i="111"/>
  <c r="J59" i="111"/>
  <c r="I59" i="111"/>
  <c r="J58" i="111"/>
  <c r="I58" i="111"/>
  <c r="J57" i="111"/>
  <c r="I57" i="111"/>
  <c r="J61" i="112"/>
  <c r="I61" i="112"/>
  <c r="J60" i="112"/>
  <c r="I60" i="112"/>
  <c r="J59" i="112"/>
  <c r="I59" i="112"/>
  <c r="J58" i="112"/>
  <c r="I58" i="112"/>
  <c r="J57" i="112"/>
  <c r="I57" i="112"/>
  <c r="J61" i="113"/>
  <c r="I61" i="113"/>
  <c r="J60" i="113"/>
  <c r="I60" i="113"/>
  <c r="J59" i="113"/>
  <c r="I59" i="113"/>
  <c r="J58" i="113"/>
  <c r="I58" i="113"/>
  <c r="J57" i="113"/>
  <c r="I57" i="113"/>
  <c r="J61" i="107"/>
  <c r="I61" i="107"/>
  <c r="J60" i="107"/>
  <c r="I60" i="107"/>
  <c r="J59" i="107"/>
  <c r="I59" i="107"/>
  <c r="J58" i="107"/>
  <c r="I58" i="107"/>
  <c r="J57" i="107"/>
  <c r="I57" i="107"/>
  <c r="J31" i="108"/>
  <c r="I31" i="108"/>
  <c r="J30" i="108"/>
  <c r="I30" i="108"/>
  <c r="J29" i="108"/>
  <c r="I29" i="108"/>
  <c r="J28" i="108"/>
  <c r="I28" i="108"/>
  <c r="J27" i="108"/>
  <c r="I27" i="108"/>
  <c r="J31" i="109"/>
  <c r="I31" i="109"/>
  <c r="J30" i="109"/>
  <c r="I30" i="109"/>
  <c r="J29" i="109"/>
  <c r="I29" i="109"/>
  <c r="J28" i="109"/>
  <c r="I28" i="109"/>
  <c r="J27" i="109"/>
  <c r="I27" i="109"/>
  <c r="J31" i="110"/>
  <c r="I31" i="110"/>
  <c r="J30" i="110"/>
  <c r="I30" i="110"/>
  <c r="J29" i="110"/>
  <c r="I29" i="110"/>
  <c r="J28" i="110"/>
  <c r="I28" i="110"/>
  <c r="J27" i="110"/>
  <c r="I27" i="110"/>
  <c r="J31" i="111"/>
  <c r="I31" i="111"/>
  <c r="J30" i="111"/>
  <c r="I30" i="111"/>
  <c r="J29" i="111"/>
  <c r="I29" i="111"/>
  <c r="J28" i="111"/>
  <c r="I28" i="111"/>
  <c r="J27" i="111"/>
  <c r="I27" i="111"/>
  <c r="J31" i="112"/>
  <c r="I31" i="112"/>
  <c r="J30" i="112"/>
  <c r="I30" i="112"/>
  <c r="J29" i="112"/>
  <c r="I29" i="112"/>
  <c r="J28" i="112"/>
  <c r="I28" i="112"/>
  <c r="J27" i="112"/>
  <c r="I27" i="112"/>
  <c r="J31" i="113"/>
  <c r="I31" i="113"/>
  <c r="J30" i="113"/>
  <c r="I30" i="113"/>
  <c r="J29" i="113"/>
  <c r="I29" i="113"/>
  <c r="J28" i="113"/>
  <c r="I28" i="113"/>
  <c r="J27" i="113"/>
  <c r="I27" i="113"/>
  <c r="J31" i="107"/>
  <c r="I31" i="107"/>
  <c r="J30" i="107"/>
  <c r="I30" i="107"/>
  <c r="J29" i="107"/>
  <c r="I29" i="107"/>
  <c r="J28" i="107"/>
  <c r="I28" i="107"/>
  <c r="J27" i="107"/>
  <c r="I62" i="110" l="1"/>
  <c r="K60" i="110" s="1"/>
  <c r="I62" i="108"/>
  <c r="K59" i="108" s="1"/>
  <c r="J32" i="107"/>
  <c r="I32" i="113"/>
  <c r="K31" i="113" s="1"/>
  <c r="J32" i="113"/>
  <c r="I62" i="112"/>
  <c r="K60" i="112" s="1"/>
  <c r="J62" i="111"/>
  <c r="J32" i="111"/>
  <c r="I32" i="111"/>
  <c r="K31" i="111" s="1"/>
  <c r="J62" i="109"/>
  <c r="I32" i="109"/>
  <c r="K28" i="109" s="1"/>
  <c r="J32" i="109"/>
  <c r="I62" i="107"/>
  <c r="I32" i="107"/>
  <c r="J62" i="113"/>
  <c r="I62" i="113"/>
  <c r="K57" i="113" s="1"/>
  <c r="J62" i="112"/>
  <c r="J32" i="112"/>
  <c r="I32" i="112"/>
  <c r="K31" i="112" s="1"/>
  <c r="I62" i="111"/>
  <c r="K57" i="111" s="1"/>
  <c r="J62" i="110"/>
  <c r="J32" i="110"/>
  <c r="I32" i="110"/>
  <c r="K31" i="110" s="1"/>
  <c r="I62" i="109"/>
  <c r="K61" i="109" s="1"/>
  <c r="J62" i="108"/>
  <c r="J32" i="108"/>
  <c r="I32" i="108"/>
  <c r="K30" i="108" s="1"/>
  <c r="J62" i="107"/>
  <c r="J11" i="163"/>
  <c r="I11" i="163"/>
  <c r="H11" i="163"/>
  <c r="G11" i="163"/>
  <c r="J10" i="163"/>
  <c r="I10" i="163"/>
  <c r="H10" i="163"/>
  <c r="G10" i="163"/>
  <c r="J9" i="163"/>
  <c r="I9" i="163"/>
  <c r="H9" i="163"/>
  <c r="G9" i="163"/>
  <c r="J8" i="163"/>
  <c r="I8" i="163"/>
  <c r="H8" i="163"/>
  <c r="G8" i="163"/>
  <c r="J7" i="163"/>
  <c r="I7" i="163"/>
  <c r="H7" i="163"/>
  <c r="G7" i="163"/>
  <c r="K29" i="112" l="1"/>
  <c r="K61" i="110"/>
  <c r="K57" i="109"/>
  <c r="K31" i="109"/>
  <c r="K58" i="113"/>
  <c r="K61" i="113"/>
  <c r="K29" i="111"/>
  <c r="K27" i="111"/>
  <c r="K28" i="111"/>
  <c r="K58" i="110"/>
  <c r="K30" i="110"/>
  <c r="K29" i="110"/>
  <c r="K59" i="109"/>
  <c r="K60" i="109"/>
  <c r="K30" i="109"/>
  <c r="K27" i="109"/>
  <c r="K31" i="108"/>
  <c r="K28" i="108"/>
  <c r="K59" i="113"/>
  <c r="K60" i="113"/>
  <c r="K29" i="113"/>
  <c r="K27" i="113"/>
  <c r="K30" i="113"/>
  <c r="K28" i="113"/>
  <c r="K61" i="112"/>
  <c r="K58" i="112"/>
  <c r="K59" i="112"/>
  <c r="K57" i="112"/>
  <c r="K30" i="112"/>
  <c r="K27" i="112"/>
  <c r="K28" i="112"/>
  <c r="K61" i="111"/>
  <c r="K58" i="111"/>
  <c r="K59" i="111"/>
  <c r="K60" i="111"/>
  <c r="K30" i="111"/>
  <c r="K59" i="110"/>
  <c r="K57" i="110"/>
  <c r="K28" i="110"/>
  <c r="K27" i="110"/>
  <c r="K58" i="109"/>
  <c r="K29" i="109"/>
  <c r="K60" i="108"/>
  <c r="K58" i="108"/>
  <c r="K57" i="108"/>
  <c r="K61" i="108"/>
  <c r="K29" i="108"/>
  <c r="K27" i="108"/>
  <c r="K9" i="163"/>
  <c r="K10" i="163"/>
  <c r="K7" i="163"/>
  <c r="K8" i="163"/>
  <c r="K11" i="163"/>
  <c r="K62" i="111" l="1"/>
  <c r="K32" i="110"/>
  <c r="K62" i="113"/>
  <c r="K32" i="113"/>
  <c r="K62" i="109"/>
  <c r="K32" i="108"/>
  <c r="K62" i="108"/>
  <c r="K62" i="112"/>
  <c r="K32" i="112"/>
  <c r="K32" i="111"/>
  <c r="K62" i="110"/>
  <c r="K32" i="109"/>
  <c r="C11" i="161"/>
  <c r="C11" i="162"/>
  <c r="B11" i="162"/>
  <c r="D11" i="162"/>
  <c r="B11" i="161"/>
  <c r="E9" i="162" l="1"/>
  <c r="E7" i="162"/>
  <c r="E10" i="162"/>
  <c r="E8" i="162"/>
  <c r="E8" i="161"/>
  <c r="E10" i="161"/>
  <c r="E7" i="161"/>
  <c r="E9" i="161"/>
  <c r="K19" i="116"/>
  <c r="K18" i="116"/>
  <c r="K17" i="116"/>
  <c r="K23" i="116"/>
  <c r="K24" i="116"/>
  <c r="K25" i="116"/>
  <c r="K26" i="116"/>
  <c r="K27" i="116"/>
  <c r="K22" i="116"/>
  <c r="K16" i="116"/>
  <c r="K20" i="116"/>
  <c r="K15" i="116"/>
  <c r="K9" i="116"/>
  <c r="K10" i="116"/>
  <c r="K11" i="116"/>
  <c r="K12" i="116"/>
  <c r="K13" i="116"/>
  <c r="K8" i="116"/>
  <c r="J34" i="116"/>
  <c r="I34" i="116"/>
  <c r="J33" i="116"/>
  <c r="I33" i="116"/>
  <c r="J32" i="116"/>
  <c r="I32" i="116"/>
  <c r="J31" i="116"/>
  <c r="I31" i="116"/>
  <c r="J30" i="116"/>
  <c r="I30" i="116"/>
  <c r="J29" i="116"/>
  <c r="E11" i="161" l="1"/>
  <c r="E11" i="162"/>
  <c r="K14" i="116"/>
  <c r="K21" i="116"/>
  <c r="J35" i="116"/>
  <c r="D11" i="126"/>
  <c r="I35" i="116"/>
  <c r="K28" i="116"/>
  <c r="K33" i="116" l="1"/>
  <c r="K32" i="116"/>
  <c r="K29" i="116"/>
  <c r="K30" i="116"/>
  <c r="K31" i="116"/>
  <c r="K34" i="116"/>
  <c r="K35" i="116" l="1"/>
  <c r="H55" i="113" l="1"/>
  <c r="H49" i="113"/>
  <c r="H43" i="113"/>
  <c r="H25" i="113"/>
  <c r="H19" i="113"/>
  <c r="H13" i="113"/>
  <c r="H55" i="112"/>
  <c r="H49" i="112"/>
  <c r="H43" i="112"/>
  <c r="H25" i="112"/>
  <c r="H19" i="112"/>
  <c r="H13" i="112"/>
  <c r="H55" i="111"/>
  <c r="H49" i="111"/>
  <c r="H43" i="111"/>
  <c r="H25" i="111"/>
  <c r="H19" i="111"/>
  <c r="H13" i="111"/>
  <c r="H55" i="110"/>
  <c r="H49" i="110"/>
  <c r="H43" i="110"/>
  <c r="H25" i="110"/>
  <c r="H19" i="110"/>
  <c r="H13" i="110"/>
  <c r="H55" i="109"/>
  <c r="H49" i="109"/>
  <c r="H43" i="109"/>
  <c r="H25" i="109"/>
  <c r="H19" i="109"/>
  <c r="H13" i="109"/>
  <c r="H55" i="108"/>
  <c r="H49" i="108"/>
  <c r="H43" i="108"/>
  <c r="H25" i="108"/>
  <c r="H19" i="108"/>
  <c r="H13" i="108"/>
  <c r="K61" i="107"/>
  <c r="K55" i="107"/>
  <c r="K49" i="107"/>
  <c r="K43" i="107"/>
  <c r="H55" i="107"/>
  <c r="H49" i="107"/>
  <c r="H43" i="107"/>
  <c r="K31" i="107"/>
  <c r="K25" i="107"/>
  <c r="K19" i="107"/>
  <c r="K13" i="107"/>
  <c r="H25" i="107"/>
  <c r="H19" i="107"/>
  <c r="H13" i="107"/>
  <c r="H26" i="116"/>
  <c r="H19" i="116"/>
  <c r="H12" i="116"/>
  <c r="S21" i="122" l="1"/>
  <c r="C19" i="122" l="1"/>
  <c r="G49" i="107" l="1"/>
  <c r="K9" i="107" l="1"/>
  <c r="K10" i="107"/>
  <c r="K11" i="107"/>
  <c r="K12" i="107"/>
  <c r="K15" i="107"/>
  <c r="K16" i="107"/>
  <c r="K18" i="107"/>
  <c r="K21" i="107"/>
  <c r="K22" i="107"/>
  <c r="K23" i="107"/>
  <c r="K24" i="107"/>
  <c r="K27" i="107"/>
  <c r="K28" i="107"/>
  <c r="K29" i="107"/>
  <c r="K30" i="107"/>
  <c r="K32" i="107" l="1"/>
  <c r="K26" i="107"/>
  <c r="K20" i="107"/>
  <c r="K14" i="107"/>
  <c r="H13" i="116"/>
  <c r="T27" i="147"/>
  <c r="S27" i="147"/>
  <c r="M27" i="147"/>
  <c r="L27" i="147"/>
  <c r="K27" i="147"/>
  <c r="F27" i="147"/>
  <c r="E31" i="107" l="1"/>
  <c r="H31" i="107" s="1"/>
  <c r="E33" i="116" l="1"/>
  <c r="F33" i="116"/>
  <c r="E32" i="116"/>
  <c r="D33" i="116"/>
  <c r="H33" i="116" l="1"/>
  <c r="F38" i="145"/>
  <c r="E38" i="145"/>
  <c r="G38" i="145" s="1"/>
  <c r="F61" i="113" l="1"/>
  <c r="E61" i="113"/>
  <c r="H61" i="113" s="1"/>
  <c r="D61" i="113"/>
  <c r="F60" i="113"/>
  <c r="E60" i="113"/>
  <c r="H60" i="113" s="1"/>
  <c r="D60" i="113"/>
  <c r="F59" i="113"/>
  <c r="E59" i="113"/>
  <c r="H59" i="113" s="1"/>
  <c r="D59" i="113"/>
  <c r="F58" i="113"/>
  <c r="E58" i="113"/>
  <c r="H58" i="113" s="1"/>
  <c r="D58" i="113"/>
  <c r="F57" i="113"/>
  <c r="E57" i="113"/>
  <c r="D57" i="113"/>
  <c r="G55" i="113"/>
  <c r="H54" i="113"/>
  <c r="G54" i="113"/>
  <c r="H53" i="113"/>
  <c r="G53" i="113"/>
  <c r="H52" i="113"/>
  <c r="G52" i="113"/>
  <c r="H51" i="113"/>
  <c r="G51" i="113"/>
  <c r="H50" i="113"/>
  <c r="G49" i="113"/>
  <c r="H48" i="113"/>
  <c r="G48" i="113"/>
  <c r="H47" i="113"/>
  <c r="G47" i="113"/>
  <c r="H46" i="113"/>
  <c r="G46" i="113"/>
  <c r="H45" i="113"/>
  <c r="G45" i="113"/>
  <c r="H44" i="113"/>
  <c r="G43" i="113"/>
  <c r="H42" i="113"/>
  <c r="G42" i="113"/>
  <c r="H41" i="113"/>
  <c r="G41" i="113"/>
  <c r="H40" i="113"/>
  <c r="G40" i="113"/>
  <c r="H39" i="113"/>
  <c r="G39" i="113"/>
  <c r="F61" i="112"/>
  <c r="E61" i="112"/>
  <c r="H61" i="112" s="1"/>
  <c r="D61" i="112"/>
  <c r="F60" i="112"/>
  <c r="E60" i="112"/>
  <c r="H60" i="112" s="1"/>
  <c r="D60" i="112"/>
  <c r="F59" i="112"/>
  <c r="E59" i="112"/>
  <c r="H59" i="112" s="1"/>
  <c r="D59" i="112"/>
  <c r="F58" i="112"/>
  <c r="E58" i="112"/>
  <c r="H58" i="112" s="1"/>
  <c r="D58" i="112"/>
  <c r="F57" i="112"/>
  <c r="E57" i="112"/>
  <c r="D57" i="112"/>
  <c r="H56" i="112"/>
  <c r="G55" i="112"/>
  <c r="H54" i="112"/>
  <c r="G54" i="112"/>
  <c r="H53" i="112"/>
  <c r="G53" i="112"/>
  <c r="H52" i="112"/>
  <c r="G52" i="112"/>
  <c r="H51" i="112"/>
  <c r="G51" i="112"/>
  <c r="H50" i="112"/>
  <c r="G49" i="112"/>
  <c r="H48" i="112"/>
  <c r="G48" i="112"/>
  <c r="H47" i="112"/>
  <c r="G47" i="112"/>
  <c r="H46" i="112"/>
  <c r="G46" i="112"/>
  <c r="H45" i="112"/>
  <c r="G45" i="112"/>
  <c r="H44" i="112"/>
  <c r="G43" i="112"/>
  <c r="H42" i="112"/>
  <c r="G42" i="112"/>
  <c r="H41" i="112"/>
  <c r="G41" i="112"/>
  <c r="H40" i="112"/>
  <c r="G40" i="112"/>
  <c r="H39" i="112"/>
  <c r="G39" i="112"/>
  <c r="F61" i="111"/>
  <c r="E61" i="111"/>
  <c r="H61" i="111" s="1"/>
  <c r="D61" i="111"/>
  <c r="F60" i="111"/>
  <c r="E60" i="111"/>
  <c r="H60" i="111" s="1"/>
  <c r="D60" i="111"/>
  <c r="F59" i="111"/>
  <c r="E59" i="111"/>
  <c r="H59" i="111" s="1"/>
  <c r="D59" i="111"/>
  <c r="F58" i="111"/>
  <c r="E58" i="111"/>
  <c r="H58" i="111" s="1"/>
  <c r="D58" i="111"/>
  <c r="F57" i="111"/>
  <c r="E57" i="111"/>
  <c r="D57" i="111"/>
  <c r="H56" i="111"/>
  <c r="G55" i="111"/>
  <c r="H54" i="111"/>
  <c r="G54" i="111"/>
  <c r="H53" i="111"/>
  <c r="G53" i="111"/>
  <c r="H52" i="111"/>
  <c r="G52" i="111"/>
  <c r="H51" i="111"/>
  <c r="G51" i="111"/>
  <c r="H50" i="111"/>
  <c r="G49" i="111"/>
  <c r="H48" i="111"/>
  <c r="G48" i="111"/>
  <c r="H47" i="111"/>
  <c r="G47" i="111"/>
  <c r="H46" i="111"/>
  <c r="G46" i="111"/>
  <c r="H45" i="111"/>
  <c r="G45" i="111"/>
  <c r="G43" i="111"/>
  <c r="H42" i="111"/>
  <c r="G42" i="111"/>
  <c r="H41" i="111"/>
  <c r="G41" i="111"/>
  <c r="H40" i="111"/>
  <c r="G40" i="111"/>
  <c r="H39" i="111"/>
  <c r="G39" i="111"/>
  <c r="F61" i="110"/>
  <c r="E61" i="110"/>
  <c r="H61" i="110" s="1"/>
  <c r="D61" i="110"/>
  <c r="F60" i="110"/>
  <c r="E60" i="110"/>
  <c r="H60" i="110" s="1"/>
  <c r="D60" i="110"/>
  <c r="F59" i="110"/>
  <c r="E59" i="110"/>
  <c r="H59" i="110" s="1"/>
  <c r="D59" i="110"/>
  <c r="F58" i="110"/>
  <c r="E58" i="110"/>
  <c r="H58" i="110" s="1"/>
  <c r="D58" i="110"/>
  <c r="F57" i="110"/>
  <c r="E57" i="110"/>
  <c r="D57" i="110"/>
  <c r="H56" i="110"/>
  <c r="G55" i="110"/>
  <c r="H54" i="110"/>
  <c r="G54" i="110"/>
  <c r="H53" i="110"/>
  <c r="G53" i="110"/>
  <c r="H52" i="110"/>
  <c r="G52" i="110"/>
  <c r="H51" i="110"/>
  <c r="G51" i="110"/>
  <c r="H50" i="110"/>
  <c r="G49" i="110"/>
  <c r="H48" i="110"/>
  <c r="G48" i="110"/>
  <c r="H47" i="110"/>
  <c r="G47" i="110"/>
  <c r="H46" i="110"/>
  <c r="G46" i="110"/>
  <c r="H45" i="110"/>
  <c r="G45" i="110"/>
  <c r="H44" i="110"/>
  <c r="G43" i="110"/>
  <c r="H42" i="110"/>
  <c r="G42" i="110"/>
  <c r="H41" i="110"/>
  <c r="G41" i="110"/>
  <c r="H40" i="110"/>
  <c r="G40" i="110"/>
  <c r="H39" i="110"/>
  <c r="G39" i="110"/>
  <c r="F61" i="109"/>
  <c r="E61" i="109"/>
  <c r="H61" i="109" s="1"/>
  <c r="D61" i="109"/>
  <c r="F60" i="109"/>
  <c r="E60" i="109"/>
  <c r="H60" i="109" s="1"/>
  <c r="D60" i="109"/>
  <c r="F59" i="109"/>
  <c r="E59" i="109"/>
  <c r="H59" i="109" s="1"/>
  <c r="D59" i="109"/>
  <c r="F58" i="109"/>
  <c r="E58" i="109"/>
  <c r="H58" i="109" s="1"/>
  <c r="D58" i="109"/>
  <c r="F57" i="109"/>
  <c r="E57" i="109"/>
  <c r="D57" i="109"/>
  <c r="H56" i="109"/>
  <c r="G55" i="109"/>
  <c r="H54" i="109"/>
  <c r="G54" i="109"/>
  <c r="H53" i="109"/>
  <c r="G53" i="109"/>
  <c r="H52" i="109"/>
  <c r="G52" i="109"/>
  <c r="H51" i="109"/>
  <c r="G51" i="109"/>
  <c r="H50" i="109"/>
  <c r="G49" i="109"/>
  <c r="H48" i="109"/>
  <c r="G48" i="109"/>
  <c r="H47" i="109"/>
  <c r="G47" i="109"/>
  <c r="H46" i="109"/>
  <c r="G46" i="109"/>
  <c r="H45" i="109"/>
  <c r="G45" i="109"/>
  <c r="H44" i="109"/>
  <c r="G43" i="109"/>
  <c r="H42" i="109"/>
  <c r="G42" i="109"/>
  <c r="H41" i="109"/>
  <c r="G41" i="109"/>
  <c r="H40" i="109"/>
  <c r="G40" i="109"/>
  <c r="H39" i="109"/>
  <c r="G39" i="109"/>
  <c r="G41" i="108"/>
  <c r="F61" i="108"/>
  <c r="E61" i="108"/>
  <c r="H61" i="108" s="1"/>
  <c r="D61" i="108"/>
  <c r="F60" i="108"/>
  <c r="E60" i="108"/>
  <c r="H60" i="108" s="1"/>
  <c r="D60" i="108"/>
  <c r="F59" i="108"/>
  <c r="E59" i="108"/>
  <c r="H59" i="108" s="1"/>
  <c r="D59" i="108"/>
  <c r="F58" i="108"/>
  <c r="E58" i="108"/>
  <c r="H58" i="108" s="1"/>
  <c r="D58" i="108"/>
  <c r="F57" i="108"/>
  <c r="E57" i="108"/>
  <c r="H57" i="108" s="1"/>
  <c r="D57" i="108"/>
  <c r="H56" i="108"/>
  <c r="G55" i="108"/>
  <c r="H54" i="108"/>
  <c r="G54" i="108"/>
  <c r="H53" i="108"/>
  <c r="G53" i="108"/>
  <c r="H52" i="108"/>
  <c r="G52" i="108"/>
  <c r="H51" i="108"/>
  <c r="G51" i="108"/>
  <c r="H50" i="108"/>
  <c r="G49" i="108"/>
  <c r="H48" i="108"/>
  <c r="G48" i="108"/>
  <c r="H47" i="108"/>
  <c r="G47" i="108"/>
  <c r="H46" i="108"/>
  <c r="G46" i="108"/>
  <c r="H45" i="108"/>
  <c r="G45" i="108"/>
  <c r="H44" i="108"/>
  <c r="G43" i="108"/>
  <c r="H42" i="108"/>
  <c r="G42" i="108"/>
  <c r="H41" i="108"/>
  <c r="H40" i="108"/>
  <c r="G40" i="108"/>
  <c r="H39" i="108"/>
  <c r="G39" i="108"/>
  <c r="F31" i="113"/>
  <c r="E31" i="113"/>
  <c r="H31" i="113" s="1"/>
  <c r="D31" i="113"/>
  <c r="F30" i="113"/>
  <c r="E30" i="113"/>
  <c r="H30" i="113" s="1"/>
  <c r="D30" i="113"/>
  <c r="F29" i="113"/>
  <c r="E29" i="113"/>
  <c r="H29" i="113" s="1"/>
  <c r="D29" i="113"/>
  <c r="F28" i="113"/>
  <c r="E28" i="113"/>
  <c r="H28" i="113" s="1"/>
  <c r="D28" i="113"/>
  <c r="F27" i="113"/>
  <c r="E27" i="113"/>
  <c r="D27" i="113"/>
  <c r="H26" i="113"/>
  <c r="G25" i="113"/>
  <c r="H24" i="113"/>
  <c r="G24" i="113"/>
  <c r="H23" i="113"/>
  <c r="G23" i="113"/>
  <c r="H22" i="113"/>
  <c r="G22" i="113"/>
  <c r="H21" i="113"/>
  <c r="G21" i="113"/>
  <c r="H20" i="113"/>
  <c r="G19" i="113"/>
  <c r="H18" i="113"/>
  <c r="G18" i="113"/>
  <c r="H17" i="113"/>
  <c r="G17" i="113"/>
  <c r="H16" i="113"/>
  <c r="G16" i="113"/>
  <c r="H15" i="113"/>
  <c r="G15" i="113"/>
  <c r="H14" i="113"/>
  <c r="G13" i="113"/>
  <c r="H12" i="113"/>
  <c r="G12" i="113"/>
  <c r="H11" i="113"/>
  <c r="G11" i="113"/>
  <c r="H10" i="113"/>
  <c r="G10" i="113"/>
  <c r="H9" i="113"/>
  <c r="G9" i="113"/>
  <c r="F31" i="112"/>
  <c r="E31" i="112"/>
  <c r="H31" i="112" s="1"/>
  <c r="D31" i="112"/>
  <c r="F30" i="112"/>
  <c r="E30" i="112"/>
  <c r="H30" i="112" s="1"/>
  <c r="D30" i="112"/>
  <c r="F29" i="112"/>
  <c r="E29" i="112"/>
  <c r="H29" i="112" s="1"/>
  <c r="D29" i="112"/>
  <c r="F28" i="112"/>
  <c r="E28" i="112"/>
  <c r="H28" i="112" s="1"/>
  <c r="D28" i="112"/>
  <c r="F27" i="112"/>
  <c r="E27" i="112"/>
  <c r="D27" i="112"/>
  <c r="H26" i="112"/>
  <c r="G25" i="112"/>
  <c r="H24" i="112"/>
  <c r="G24" i="112"/>
  <c r="H23" i="112"/>
  <c r="G23" i="112"/>
  <c r="H22" i="112"/>
  <c r="G22" i="112"/>
  <c r="H21" i="112"/>
  <c r="G21" i="112"/>
  <c r="H20" i="112"/>
  <c r="G19" i="112"/>
  <c r="H18" i="112"/>
  <c r="G18" i="112"/>
  <c r="H17" i="112"/>
  <c r="G17" i="112"/>
  <c r="H16" i="112"/>
  <c r="G16" i="112"/>
  <c r="H15" i="112"/>
  <c r="G15" i="112"/>
  <c r="H14" i="112"/>
  <c r="G13" i="112"/>
  <c r="H12" i="112"/>
  <c r="G12" i="112"/>
  <c r="H11" i="112"/>
  <c r="G11" i="112"/>
  <c r="H10" i="112"/>
  <c r="G10" i="112"/>
  <c r="H9" i="112"/>
  <c r="G9" i="112"/>
  <c r="F31" i="111"/>
  <c r="E31" i="111"/>
  <c r="H31" i="111" s="1"/>
  <c r="D31" i="111"/>
  <c r="F30" i="111"/>
  <c r="E30" i="111"/>
  <c r="H30" i="111" s="1"/>
  <c r="D30" i="111"/>
  <c r="F29" i="111"/>
  <c r="E29" i="111"/>
  <c r="H29" i="111" s="1"/>
  <c r="D29" i="111"/>
  <c r="F28" i="111"/>
  <c r="E28" i="111"/>
  <c r="H28" i="111" s="1"/>
  <c r="D28" i="111"/>
  <c r="F27" i="111"/>
  <c r="E27" i="111"/>
  <c r="D27" i="111"/>
  <c r="H26" i="111"/>
  <c r="G25" i="111"/>
  <c r="H24" i="111"/>
  <c r="G24" i="111"/>
  <c r="H23" i="111"/>
  <c r="G23" i="111"/>
  <c r="H22" i="111"/>
  <c r="G22" i="111"/>
  <c r="H21" i="111"/>
  <c r="G21" i="111"/>
  <c r="H20" i="111"/>
  <c r="G19" i="111"/>
  <c r="H18" i="111"/>
  <c r="G18" i="111"/>
  <c r="H17" i="111"/>
  <c r="G17" i="111"/>
  <c r="H16" i="111"/>
  <c r="G16" i="111"/>
  <c r="H15" i="111"/>
  <c r="G15" i="111"/>
  <c r="H14" i="111"/>
  <c r="G13" i="111"/>
  <c r="H12" i="111"/>
  <c r="G12" i="111"/>
  <c r="H11" i="111"/>
  <c r="G11" i="111"/>
  <c r="H10" i="111"/>
  <c r="G10" i="111"/>
  <c r="H9" i="111"/>
  <c r="G9" i="111"/>
  <c r="F31" i="110"/>
  <c r="E31" i="110"/>
  <c r="H31" i="110" s="1"/>
  <c r="D31" i="110"/>
  <c r="F30" i="110"/>
  <c r="E30" i="110"/>
  <c r="H30" i="110" s="1"/>
  <c r="D30" i="110"/>
  <c r="F29" i="110"/>
  <c r="E29" i="110"/>
  <c r="H29" i="110" s="1"/>
  <c r="D29" i="110"/>
  <c r="F28" i="110"/>
  <c r="E28" i="110"/>
  <c r="H28" i="110" s="1"/>
  <c r="D28" i="110"/>
  <c r="F27" i="110"/>
  <c r="E27" i="110"/>
  <c r="D27" i="110"/>
  <c r="H26" i="110"/>
  <c r="G25" i="110"/>
  <c r="H24" i="110"/>
  <c r="G24" i="110"/>
  <c r="H23" i="110"/>
  <c r="G23" i="110"/>
  <c r="H22" i="110"/>
  <c r="G22" i="110"/>
  <c r="H21" i="110"/>
  <c r="G21" i="110"/>
  <c r="H20" i="110"/>
  <c r="G19" i="110"/>
  <c r="H18" i="110"/>
  <c r="G18" i="110"/>
  <c r="H17" i="110"/>
  <c r="G17" i="110"/>
  <c r="H16" i="110"/>
  <c r="G16" i="110"/>
  <c r="H15" i="110"/>
  <c r="G15" i="110"/>
  <c r="H14" i="110"/>
  <c r="G13" i="110"/>
  <c r="H12" i="110"/>
  <c r="G12" i="110"/>
  <c r="H11" i="110"/>
  <c r="G11" i="110"/>
  <c r="H10" i="110"/>
  <c r="G10" i="110"/>
  <c r="H9" i="110"/>
  <c r="G9" i="110"/>
  <c r="F31" i="109"/>
  <c r="E31" i="109"/>
  <c r="H31" i="109" s="1"/>
  <c r="D31" i="109"/>
  <c r="F30" i="109"/>
  <c r="E30" i="109"/>
  <c r="H30" i="109" s="1"/>
  <c r="D30" i="109"/>
  <c r="F29" i="109"/>
  <c r="E29" i="109"/>
  <c r="H29" i="109" s="1"/>
  <c r="D29" i="109"/>
  <c r="F28" i="109"/>
  <c r="E28" i="109"/>
  <c r="H28" i="109" s="1"/>
  <c r="D28" i="109"/>
  <c r="F27" i="109"/>
  <c r="E27" i="109"/>
  <c r="D27" i="109"/>
  <c r="H26" i="109"/>
  <c r="G25" i="109"/>
  <c r="H24" i="109"/>
  <c r="G24" i="109"/>
  <c r="H23" i="109"/>
  <c r="G23" i="109"/>
  <c r="H22" i="109"/>
  <c r="G22" i="109"/>
  <c r="H21" i="109"/>
  <c r="G21" i="109"/>
  <c r="H20" i="109"/>
  <c r="G19" i="109"/>
  <c r="H18" i="109"/>
  <c r="G18" i="109"/>
  <c r="H17" i="109"/>
  <c r="G17" i="109"/>
  <c r="H16" i="109"/>
  <c r="G16" i="109"/>
  <c r="H15" i="109"/>
  <c r="G15" i="109"/>
  <c r="H14" i="109"/>
  <c r="G13" i="109"/>
  <c r="H12" i="109"/>
  <c r="G12" i="109"/>
  <c r="H11" i="109"/>
  <c r="G11" i="109"/>
  <c r="H10" i="109"/>
  <c r="G10" i="109"/>
  <c r="H9" i="109"/>
  <c r="G9" i="109"/>
  <c r="G55" i="107"/>
  <c r="G43" i="107"/>
  <c r="G42" i="107"/>
  <c r="E61" i="107"/>
  <c r="H61" i="107" s="1"/>
  <c r="E57" i="107"/>
  <c r="G52" i="107"/>
  <c r="G53" i="107"/>
  <c r="G54" i="107"/>
  <c r="G51" i="107"/>
  <c r="G46" i="107"/>
  <c r="G47" i="107"/>
  <c r="G48" i="107"/>
  <c r="G45" i="107"/>
  <c r="G40" i="107"/>
  <c r="G41" i="107"/>
  <c r="G39" i="107"/>
  <c r="K58" i="107"/>
  <c r="K59" i="107"/>
  <c r="K60" i="107"/>
  <c r="K57" i="107"/>
  <c r="K52" i="107"/>
  <c r="K53" i="107"/>
  <c r="K54" i="107"/>
  <c r="K51" i="107"/>
  <c r="K46" i="107"/>
  <c r="K47" i="107"/>
  <c r="K48" i="107"/>
  <c r="K45" i="107"/>
  <c r="K40" i="107"/>
  <c r="K41" i="107"/>
  <c r="K42" i="107"/>
  <c r="K39" i="107"/>
  <c r="H9" i="107"/>
  <c r="H39" i="107"/>
  <c r="F62" i="109" l="1"/>
  <c r="G44" i="107"/>
  <c r="K44" i="107"/>
  <c r="K50" i="107"/>
  <c r="K56" i="107"/>
  <c r="K62" i="107"/>
  <c r="G44" i="112"/>
  <c r="G56" i="112"/>
  <c r="G50" i="111"/>
  <c r="G44" i="109"/>
  <c r="G56" i="109"/>
  <c r="G14" i="109"/>
  <c r="G26" i="109"/>
  <c r="G56" i="108"/>
  <c r="G20" i="113"/>
  <c r="G20" i="111"/>
  <c r="G44" i="113"/>
  <c r="G56" i="113"/>
  <c r="G50" i="113"/>
  <c r="G14" i="113"/>
  <c r="G26" i="113"/>
  <c r="G50" i="112"/>
  <c r="G26" i="112"/>
  <c r="G14" i="112"/>
  <c r="G20" i="112"/>
  <c r="G44" i="111"/>
  <c r="G56" i="111"/>
  <c r="G14" i="111"/>
  <c r="G26" i="111"/>
  <c r="G44" i="110"/>
  <c r="G56" i="110"/>
  <c r="G50" i="110"/>
  <c r="G14" i="110"/>
  <c r="G26" i="110"/>
  <c r="G20" i="110"/>
  <c r="G50" i="109"/>
  <c r="G20" i="109"/>
  <c r="G44" i="108"/>
  <c r="G50" i="108"/>
  <c r="G50" i="107"/>
  <c r="G56" i="107"/>
  <c r="E62" i="113"/>
  <c r="G57" i="113" s="1"/>
  <c r="E32" i="113"/>
  <c r="H32" i="113" s="1"/>
  <c r="D62" i="113"/>
  <c r="E62" i="112"/>
  <c r="G60" i="112" s="1"/>
  <c r="E32" i="112"/>
  <c r="G28" i="112" s="1"/>
  <c r="D62" i="111"/>
  <c r="F62" i="111"/>
  <c r="D32" i="111"/>
  <c r="F62" i="110"/>
  <c r="D62" i="110"/>
  <c r="D32" i="110"/>
  <c r="F32" i="110"/>
  <c r="F32" i="109"/>
  <c r="D32" i="109"/>
  <c r="F62" i="108"/>
  <c r="F62" i="113"/>
  <c r="F32" i="113"/>
  <c r="D32" i="113"/>
  <c r="H57" i="112"/>
  <c r="D62" i="112"/>
  <c r="F62" i="112"/>
  <c r="D32" i="112"/>
  <c r="F32" i="112"/>
  <c r="H27" i="112"/>
  <c r="E62" i="111"/>
  <c r="H62" i="111" s="1"/>
  <c r="F32" i="111"/>
  <c r="E32" i="111"/>
  <c r="G30" i="111" s="1"/>
  <c r="E62" i="110"/>
  <c r="H62" i="110" s="1"/>
  <c r="E32" i="110"/>
  <c r="G30" i="110" s="1"/>
  <c r="D62" i="109"/>
  <c r="E62" i="109"/>
  <c r="G59" i="109" s="1"/>
  <c r="E32" i="109"/>
  <c r="H32" i="109" s="1"/>
  <c r="D62" i="108"/>
  <c r="E62" i="108"/>
  <c r="H62" i="108" s="1"/>
  <c r="H57" i="113"/>
  <c r="H57" i="111"/>
  <c r="H57" i="110"/>
  <c r="H57" i="109"/>
  <c r="H27" i="113"/>
  <c r="H27" i="111"/>
  <c r="H27" i="110"/>
  <c r="H27" i="109"/>
  <c r="G57" i="112" l="1"/>
  <c r="G58" i="112"/>
  <c r="G60" i="113"/>
  <c r="G59" i="112"/>
  <c r="G61" i="112"/>
  <c r="H62" i="112"/>
  <c r="G59" i="113"/>
  <c r="G61" i="113"/>
  <c r="G58" i="108"/>
  <c r="G59" i="111"/>
  <c r="G27" i="113"/>
  <c r="G30" i="113"/>
  <c r="G30" i="112"/>
  <c r="G57" i="110"/>
  <c r="G31" i="113"/>
  <c r="G58" i="109"/>
  <c r="G61" i="109"/>
  <c r="G29" i="109"/>
  <c r="G28" i="109"/>
  <c r="G30" i="109"/>
  <c r="G31" i="109"/>
  <c r="G57" i="108"/>
  <c r="G59" i="108"/>
  <c r="G60" i="108"/>
  <c r="G61" i="108"/>
  <c r="G58" i="113"/>
  <c r="H62" i="113"/>
  <c r="G29" i="113"/>
  <c r="G28" i="113"/>
  <c r="G29" i="112"/>
  <c r="G31" i="112"/>
  <c r="G60" i="109"/>
  <c r="G57" i="109"/>
  <c r="H62" i="109"/>
  <c r="G27" i="109"/>
  <c r="H32" i="112"/>
  <c r="G27" i="112"/>
  <c r="G57" i="111"/>
  <c r="G31" i="111"/>
  <c r="H32" i="111"/>
  <c r="G59" i="110"/>
  <c r="G31" i="110"/>
  <c r="H32" i="110"/>
  <c r="G60" i="111"/>
  <c r="G61" i="111"/>
  <c r="G58" i="111"/>
  <c r="G29" i="111"/>
  <c r="G28" i="111"/>
  <c r="G27" i="111"/>
  <c r="G60" i="110"/>
  <c r="G61" i="110"/>
  <c r="G58" i="110"/>
  <c r="G29" i="110"/>
  <c r="G28" i="110"/>
  <c r="G27" i="110"/>
  <c r="G62" i="112" l="1"/>
  <c r="G62" i="113"/>
  <c r="G62" i="109"/>
  <c r="G62" i="108"/>
  <c r="G32" i="113"/>
  <c r="G62" i="110"/>
  <c r="G32" i="110"/>
  <c r="G32" i="109"/>
  <c r="G32" i="112"/>
  <c r="G62" i="111"/>
  <c r="G32" i="111"/>
  <c r="N18" i="147" l="1"/>
  <c r="G21" i="147"/>
  <c r="G18" i="147"/>
  <c r="S18" i="147"/>
  <c r="T28" i="147" s="1"/>
  <c r="S19" i="147"/>
  <c r="T29" i="147" s="1"/>
  <c r="S20" i="147"/>
  <c r="T30" i="147" s="1"/>
  <c r="S21" i="147"/>
  <c r="T31" i="147" s="1"/>
  <c r="S22" i="147"/>
  <c r="S23" i="147"/>
  <c r="S24" i="147"/>
  <c r="L18" i="147"/>
  <c r="M28" i="147" s="1"/>
  <c r="L19" i="147"/>
  <c r="M29" i="147" s="1"/>
  <c r="L20" i="147"/>
  <c r="M30" i="147" s="1"/>
  <c r="L21" i="147"/>
  <c r="M31" i="147" s="1"/>
  <c r="L22" i="147"/>
  <c r="L23" i="147"/>
  <c r="L24" i="147"/>
  <c r="F18" i="147"/>
  <c r="F28" i="147" s="1"/>
  <c r="F19" i="147"/>
  <c r="F20" i="147"/>
  <c r="F21" i="147"/>
  <c r="F22" i="147"/>
  <c r="F23" i="147"/>
  <c r="F24" i="147"/>
  <c r="F31" i="108"/>
  <c r="E31" i="108"/>
  <c r="H31" i="108" s="1"/>
  <c r="D31" i="108"/>
  <c r="F30" i="108"/>
  <c r="E30" i="108"/>
  <c r="H30" i="108" s="1"/>
  <c r="D30" i="108"/>
  <c r="F29" i="108"/>
  <c r="E29" i="108"/>
  <c r="H29" i="108" s="1"/>
  <c r="D29" i="108"/>
  <c r="F28" i="108"/>
  <c r="E28" i="108"/>
  <c r="D28" i="108"/>
  <c r="F27" i="108"/>
  <c r="E27" i="108"/>
  <c r="H27" i="108" s="1"/>
  <c r="D27" i="108"/>
  <c r="H26" i="108"/>
  <c r="H24" i="108"/>
  <c r="H23" i="108"/>
  <c r="H22" i="108"/>
  <c r="H21" i="108"/>
  <c r="H20" i="108"/>
  <c r="H18" i="108"/>
  <c r="H17" i="108"/>
  <c r="H16" i="108"/>
  <c r="H15" i="108"/>
  <c r="H14" i="108"/>
  <c r="H12" i="108"/>
  <c r="H11" i="108"/>
  <c r="H10" i="108"/>
  <c r="H9" i="108"/>
  <c r="E59" i="107"/>
  <c r="H59" i="107" s="1"/>
  <c r="F61" i="107"/>
  <c r="D61" i="107"/>
  <c r="F60" i="107"/>
  <c r="E60" i="107"/>
  <c r="H60" i="107" s="1"/>
  <c r="D60" i="107"/>
  <c r="F59" i="107"/>
  <c r="D59" i="107"/>
  <c r="F58" i="107"/>
  <c r="E58" i="107"/>
  <c r="H58" i="107" s="1"/>
  <c r="D58" i="107"/>
  <c r="H57" i="107"/>
  <c r="F57" i="107"/>
  <c r="D57" i="107"/>
  <c r="H56" i="107"/>
  <c r="H54" i="107"/>
  <c r="H53" i="107"/>
  <c r="H52" i="107"/>
  <c r="H51" i="107"/>
  <c r="H50" i="107"/>
  <c r="H48" i="107"/>
  <c r="H47" i="107"/>
  <c r="H46" i="107"/>
  <c r="H45" i="107"/>
  <c r="H44" i="107"/>
  <c r="H42" i="107"/>
  <c r="H41" i="107"/>
  <c r="H40" i="107"/>
  <c r="D31" i="107"/>
  <c r="F31" i="107"/>
  <c r="D30" i="107"/>
  <c r="D27" i="107"/>
  <c r="H14" i="107"/>
  <c r="G13" i="116"/>
  <c r="G12" i="116"/>
  <c r="G11" i="116"/>
  <c r="G10" i="116"/>
  <c r="G9" i="116"/>
  <c r="G8" i="116"/>
  <c r="F32" i="108" l="1"/>
  <c r="G14" i="116"/>
  <c r="E32" i="108"/>
  <c r="H32" i="108" s="1"/>
  <c r="D62" i="107"/>
  <c r="F62" i="107"/>
  <c r="H28" i="108"/>
  <c r="D32" i="108"/>
  <c r="E62" i="107"/>
  <c r="G59" i="107" s="1"/>
  <c r="G29" i="108" l="1"/>
  <c r="G31" i="108"/>
  <c r="G28" i="108"/>
  <c r="G27" i="108"/>
  <c r="G30" i="108"/>
  <c r="G60" i="107"/>
  <c r="H62" i="107"/>
  <c r="G57" i="107"/>
  <c r="G61" i="107"/>
  <c r="G58" i="107"/>
  <c r="G32" i="108" l="1"/>
  <c r="G62" i="107"/>
  <c r="H39" i="145"/>
  <c r="H40" i="145"/>
  <c r="B39" i="145"/>
  <c r="I20" i="122" l="1"/>
  <c r="B20" i="122"/>
  <c r="C27" i="147" l="1"/>
  <c r="D27" i="147"/>
  <c r="E27" i="147"/>
  <c r="B27" i="147"/>
  <c r="R18" i="128" l="1"/>
  <c r="P20" i="128"/>
  <c r="R20" i="128"/>
  <c r="B18" i="128"/>
  <c r="C18" i="128"/>
  <c r="D18" i="128"/>
  <c r="E18" i="128"/>
  <c r="F18" i="128"/>
  <c r="G18" i="128"/>
  <c r="H18" i="128"/>
  <c r="I18" i="128"/>
  <c r="J18" i="128"/>
  <c r="K18" i="128"/>
  <c r="L18" i="128"/>
  <c r="M18" i="128"/>
  <c r="N18" i="128"/>
  <c r="O18" i="128"/>
  <c r="P18" i="128"/>
  <c r="Q18" i="128"/>
  <c r="B19" i="128"/>
  <c r="C19" i="128"/>
  <c r="D19" i="128"/>
  <c r="E19" i="128"/>
  <c r="F19" i="128"/>
  <c r="G19" i="128"/>
  <c r="H19" i="128"/>
  <c r="I19" i="128"/>
  <c r="J19" i="128"/>
  <c r="K19" i="128"/>
  <c r="L19" i="128"/>
  <c r="M19" i="128"/>
  <c r="N19" i="128"/>
  <c r="O19" i="128"/>
  <c r="P19" i="128"/>
  <c r="Q19" i="128"/>
  <c r="R19" i="128"/>
  <c r="B20" i="128"/>
  <c r="C20" i="128"/>
  <c r="D20" i="128"/>
  <c r="E20" i="128"/>
  <c r="F20" i="128"/>
  <c r="G20" i="128"/>
  <c r="H20" i="128"/>
  <c r="I20" i="128"/>
  <c r="J20" i="128"/>
  <c r="K20" i="128"/>
  <c r="L20" i="128"/>
  <c r="M20" i="128"/>
  <c r="N20" i="128"/>
  <c r="O20" i="128"/>
  <c r="Q20" i="128"/>
  <c r="B21" i="128"/>
  <c r="C21" i="128"/>
  <c r="D21" i="128"/>
  <c r="E21" i="128"/>
  <c r="F21" i="128"/>
  <c r="G21" i="128"/>
  <c r="H21" i="128"/>
  <c r="I21" i="128"/>
  <c r="J21" i="128"/>
  <c r="K21" i="128"/>
  <c r="L21" i="128"/>
  <c r="M21" i="128"/>
  <c r="N21" i="128"/>
  <c r="O21" i="128"/>
  <c r="P21" i="128"/>
  <c r="Q21" i="128"/>
  <c r="R21" i="128"/>
  <c r="B22" i="128"/>
  <c r="C22" i="128"/>
  <c r="D22" i="128"/>
  <c r="E22" i="128"/>
  <c r="F22" i="128"/>
  <c r="G22" i="128"/>
  <c r="H22" i="128"/>
  <c r="I22" i="128"/>
  <c r="J22" i="128"/>
  <c r="K22" i="128"/>
  <c r="L22" i="128"/>
  <c r="M22" i="128"/>
  <c r="N22" i="128"/>
  <c r="O22" i="128"/>
  <c r="P22" i="128"/>
  <c r="Q22" i="128"/>
  <c r="B23" i="128"/>
  <c r="C23" i="128"/>
  <c r="D23" i="128"/>
  <c r="E23" i="128"/>
  <c r="F23" i="128"/>
  <c r="G23" i="128"/>
  <c r="H23" i="128"/>
  <c r="I23" i="128"/>
  <c r="J23" i="128"/>
  <c r="K23" i="128"/>
  <c r="L23" i="128"/>
  <c r="M23" i="128"/>
  <c r="N23" i="128"/>
  <c r="O23" i="128"/>
  <c r="P23" i="128"/>
  <c r="Q23" i="128"/>
  <c r="R23" i="128"/>
  <c r="B19" i="147"/>
  <c r="C19" i="147"/>
  <c r="D19" i="147"/>
  <c r="E19" i="147"/>
  <c r="G19" i="147"/>
  <c r="H19" i="147"/>
  <c r="I29" i="147" s="1"/>
  <c r="J29" i="147"/>
  <c r="J19" i="147"/>
  <c r="K29" i="147" s="1"/>
  <c r="K19" i="147"/>
  <c r="L29" i="147" s="1"/>
  <c r="M19" i="147"/>
  <c r="N19" i="147"/>
  <c r="O19" i="147"/>
  <c r="P29" i="147" s="1"/>
  <c r="P19" i="147"/>
  <c r="Q29" i="147" s="1"/>
  <c r="Q19" i="147"/>
  <c r="R29" i="147" s="1"/>
  <c r="R19" i="147"/>
  <c r="S29" i="147" s="1"/>
  <c r="T19" i="147"/>
  <c r="U19" i="147"/>
  <c r="B20" i="147"/>
  <c r="C20" i="147"/>
  <c r="D20" i="147"/>
  <c r="E20" i="147"/>
  <c r="G20" i="147"/>
  <c r="I30" i="147"/>
  <c r="I20" i="147"/>
  <c r="J30" i="147" s="1"/>
  <c r="J20" i="147"/>
  <c r="K30" i="147" s="1"/>
  <c r="K20" i="147"/>
  <c r="L30" i="147" s="1"/>
  <c r="M20" i="147"/>
  <c r="N20" i="147"/>
  <c r="O20" i="147"/>
  <c r="P30" i="147" s="1"/>
  <c r="P20" i="147"/>
  <c r="Q30" i="147" s="1"/>
  <c r="Q20" i="147"/>
  <c r="R30" i="147" s="1"/>
  <c r="R20" i="147"/>
  <c r="S30" i="147" s="1"/>
  <c r="T20" i="147"/>
  <c r="U20" i="147"/>
  <c r="B21" i="147"/>
  <c r="C21" i="147"/>
  <c r="D21" i="147"/>
  <c r="E21" i="147"/>
  <c r="H21" i="147"/>
  <c r="I31" i="147" s="1"/>
  <c r="I21" i="147"/>
  <c r="J31" i="147" s="1"/>
  <c r="J21" i="147"/>
  <c r="K31" i="147" s="1"/>
  <c r="K21" i="147"/>
  <c r="L31" i="147" s="1"/>
  <c r="M21" i="147"/>
  <c r="N21" i="147"/>
  <c r="O21" i="147"/>
  <c r="P31" i="147" s="1"/>
  <c r="P21" i="147"/>
  <c r="Q31" i="147" s="1"/>
  <c r="Q21" i="147"/>
  <c r="R31" i="147" s="1"/>
  <c r="R21" i="147"/>
  <c r="S31" i="147" s="1"/>
  <c r="T21" i="147"/>
  <c r="U21" i="147"/>
  <c r="B22" i="147"/>
  <c r="C22" i="147"/>
  <c r="D22" i="147"/>
  <c r="E22" i="147"/>
  <c r="G22" i="147"/>
  <c r="H22" i="147"/>
  <c r="I22" i="147"/>
  <c r="J22" i="147"/>
  <c r="K22" i="147"/>
  <c r="M22" i="147"/>
  <c r="N22" i="147"/>
  <c r="O22" i="147"/>
  <c r="P22" i="147"/>
  <c r="Q22" i="147"/>
  <c r="R22" i="147"/>
  <c r="T22" i="147"/>
  <c r="U22" i="147"/>
  <c r="C23" i="147"/>
  <c r="D23" i="147"/>
  <c r="E23" i="147"/>
  <c r="G23" i="147"/>
  <c r="I23" i="147"/>
  <c r="J23" i="147"/>
  <c r="K23" i="147"/>
  <c r="M23" i="147"/>
  <c r="N23" i="147"/>
  <c r="O23" i="147"/>
  <c r="P23" i="147"/>
  <c r="Q23" i="147"/>
  <c r="R23" i="147"/>
  <c r="T23" i="147"/>
  <c r="U23" i="147"/>
  <c r="B24" i="147"/>
  <c r="C24" i="147"/>
  <c r="D24" i="147"/>
  <c r="E24" i="147"/>
  <c r="G24" i="147"/>
  <c r="H24" i="147"/>
  <c r="I24" i="147"/>
  <c r="J24" i="147"/>
  <c r="K24" i="147"/>
  <c r="M24" i="147"/>
  <c r="N24" i="147"/>
  <c r="O24" i="147"/>
  <c r="P24" i="147"/>
  <c r="Q24" i="147"/>
  <c r="R24" i="147"/>
  <c r="T24" i="147"/>
  <c r="U24" i="147"/>
  <c r="R22" i="128" l="1"/>
  <c r="H37" i="145"/>
  <c r="J37" i="145"/>
  <c r="D37" i="145"/>
  <c r="F20" i="140" l="1"/>
  <c r="F20" i="139"/>
  <c r="F20" i="120"/>
  <c r="F18" i="140"/>
  <c r="F18" i="139"/>
  <c r="F18" i="120"/>
  <c r="F16" i="140"/>
  <c r="F16" i="139"/>
  <c r="F16" i="120"/>
  <c r="F14" i="140"/>
  <c r="F14" i="139"/>
  <c r="F14" i="120"/>
  <c r="F12" i="140"/>
  <c r="F12" i="139"/>
  <c r="F12" i="120"/>
  <c r="F10" i="140"/>
  <c r="F10" i="120"/>
  <c r="F18" i="141" l="1"/>
  <c r="F10" i="141"/>
  <c r="F10" i="139"/>
  <c r="F16" i="141" l="1"/>
  <c r="F20" i="141"/>
  <c r="F12" i="141"/>
  <c r="F14" i="141"/>
  <c r="G16" i="116" l="1"/>
  <c r="G17" i="116"/>
  <c r="G18" i="116"/>
  <c r="G19" i="116"/>
  <c r="G20" i="116"/>
  <c r="G15" i="116"/>
  <c r="G21" i="116" l="1"/>
  <c r="C18" i="147" l="1"/>
  <c r="C28" i="147" s="1"/>
  <c r="D18" i="147"/>
  <c r="D28" i="147" s="1"/>
  <c r="E18" i="147"/>
  <c r="E28" i="147" s="1"/>
  <c r="B18" i="147"/>
  <c r="B28" i="147" s="1"/>
  <c r="G8" i="141" l="1"/>
  <c r="H8" i="141"/>
  <c r="I8" i="141"/>
  <c r="J8" i="141"/>
  <c r="G9" i="141"/>
  <c r="H9" i="141"/>
  <c r="I9" i="141"/>
  <c r="J9" i="141"/>
  <c r="G10" i="141"/>
  <c r="H10" i="141"/>
  <c r="I10" i="141"/>
  <c r="J10" i="141"/>
  <c r="G11" i="141"/>
  <c r="H11" i="141"/>
  <c r="I11" i="141"/>
  <c r="J11" i="141"/>
  <c r="G12" i="141"/>
  <c r="H12" i="141"/>
  <c r="I12" i="141"/>
  <c r="J12" i="141"/>
  <c r="G13" i="141"/>
  <c r="H13" i="141"/>
  <c r="I13" i="141"/>
  <c r="J13" i="141"/>
  <c r="G14" i="141"/>
  <c r="H14" i="141"/>
  <c r="I14" i="141"/>
  <c r="J14" i="141"/>
  <c r="G15" i="141"/>
  <c r="H15" i="141"/>
  <c r="I15" i="141"/>
  <c r="J15" i="141"/>
  <c r="G16" i="141"/>
  <c r="H16" i="141"/>
  <c r="I16" i="141"/>
  <c r="J16" i="141"/>
  <c r="G17" i="141"/>
  <c r="H17" i="141"/>
  <c r="I17" i="141"/>
  <c r="J17" i="141"/>
  <c r="G18" i="141"/>
  <c r="H18" i="141"/>
  <c r="I18" i="141"/>
  <c r="J18" i="141"/>
  <c r="G19" i="141"/>
  <c r="H19" i="141"/>
  <c r="I19" i="141"/>
  <c r="J19" i="141"/>
  <c r="G20" i="141"/>
  <c r="H20" i="141"/>
  <c r="I20" i="141"/>
  <c r="J20" i="141"/>
  <c r="G21" i="141"/>
  <c r="H21" i="141"/>
  <c r="I21" i="141"/>
  <c r="J21" i="141"/>
  <c r="G22" i="141"/>
  <c r="H22" i="141"/>
  <c r="I22" i="141"/>
  <c r="J22" i="141"/>
  <c r="G23" i="141"/>
  <c r="H23" i="141"/>
  <c r="I23" i="141"/>
  <c r="J23" i="141"/>
  <c r="G7" i="141"/>
  <c r="J7" i="141"/>
  <c r="I7" i="141"/>
  <c r="H7" i="141"/>
  <c r="K18" i="141" l="1"/>
  <c r="K16" i="141"/>
  <c r="K8" i="141"/>
  <c r="K13" i="141"/>
  <c r="K11" i="141"/>
  <c r="K23" i="141"/>
  <c r="K21" i="141"/>
  <c r="K19" i="141"/>
  <c r="K17" i="141"/>
  <c r="K14" i="141"/>
  <c r="K22" i="141"/>
  <c r="K15" i="141"/>
  <c r="K12" i="141"/>
  <c r="K10" i="141"/>
  <c r="K9" i="141"/>
  <c r="K20" i="141"/>
  <c r="K7" i="141"/>
  <c r="C10" i="141" l="1"/>
  <c r="D10" i="141"/>
  <c r="C12" i="141"/>
  <c r="D12" i="141"/>
  <c r="C14" i="141"/>
  <c r="D14" i="141"/>
  <c r="C16" i="141"/>
  <c r="D16" i="141"/>
  <c r="C18" i="141"/>
  <c r="D18" i="141"/>
  <c r="C20" i="141"/>
  <c r="D20" i="141"/>
  <c r="C7" i="140"/>
  <c r="D7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C16" i="140"/>
  <c r="D16" i="140"/>
  <c r="C17" i="140"/>
  <c r="D17" i="140"/>
  <c r="C18" i="140"/>
  <c r="D18" i="140"/>
  <c r="C19" i="140"/>
  <c r="D19" i="140"/>
  <c r="C20" i="140"/>
  <c r="D20" i="140"/>
  <c r="B20" i="140"/>
  <c r="B19" i="140"/>
  <c r="B18" i="140"/>
  <c r="B17" i="140"/>
  <c r="B16" i="140"/>
  <c r="B15" i="140"/>
  <c r="B14" i="140"/>
  <c r="B13" i="140"/>
  <c r="B12" i="140"/>
  <c r="B11" i="140"/>
  <c r="B10" i="140"/>
  <c r="B9" i="140"/>
  <c r="B8" i="140"/>
  <c r="B7" i="140"/>
  <c r="C7" i="139"/>
  <c r="D7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C16" i="139"/>
  <c r="D16" i="139"/>
  <c r="C17" i="139"/>
  <c r="D17" i="139"/>
  <c r="C18" i="139"/>
  <c r="D18" i="139"/>
  <c r="C19" i="139"/>
  <c r="D19" i="139"/>
  <c r="C20" i="139"/>
  <c r="D20" i="139"/>
  <c r="B20" i="139"/>
  <c r="B19" i="139"/>
  <c r="B18" i="139"/>
  <c r="B17" i="139"/>
  <c r="B16" i="139"/>
  <c r="B15" i="139"/>
  <c r="B14" i="139"/>
  <c r="B13" i="139"/>
  <c r="B12" i="139"/>
  <c r="B11" i="139"/>
  <c r="B10" i="139"/>
  <c r="B9" i="139"/>
  <c r="B8" i="139"/>
  <c r="B7" i="139"/>
  <c r="C7" i="120"/>
  <c r="D7" i="120"/>
  <c r="C8" i="120"/>
  <c r="D8" i="120"/>
  <c r="C9" i="120"/>
  <c r="D9" i="120"/>
  <c r="C10" i="120"/>
  <c r="D10" i="120"/>
  <c r="C11" i="120"/>
  <c r="D11" i="120"/>
  <c r="C12" i="120"/>
  <c r="D12" i="120"/>
  <c r="C13" i="120"/>
  <c r="D13" i="120"/>
  <c r="C14" i="120"/>
  <c r="D14" i="120"/>
  <c r="C15" i="120"/>
  <c r="D15" i="120"/>
  <c r="C16" i="120"/>
  <c r="D16" i="120"/>
  <c r="C17" i="120"/>
  <c r="D17" i="120"/>
  <c r="C18" i="120"/>
  <c r="D18" i="120"/>
  <c r="C19" i="120"/>
  <c r="D19" i="120"/>
  <c r="C20" i="120"/>
  <c r="D20" i="120"/>
  <c r="B20" i="120"/>
  <c r="B19" i="120"/>
  <c r="B18" i="120"/>
  <c r="B17" i="120"/>
  <c r="B16" i="120"/>
  <c r="B15" i="120"/>
  <c r="B14" i="120"/>
  <c r="B13" i="120"/>
  <c r="B12" i="120"/>
  <c r="B11" i="120"/>
  <c r="B10" i="120"/>
  <c r="B9" i="120"/>
  <c r="B8" i="120"/>
  <c r="B7" i="120"/>
  <c r="B21" i="120" l="1"/>
  <c r="D21" i="120"/>
  <c r="E7" i="120" s="1"/>
  <c r="C21" i="120"/>
  <c r="Q27" i="147" l="1"/>
  <c r="R27" i="147"/>
  <c r="P27" i="147"/>
  <c r="O29" i="147"/>
  <c r="O30" i="147"/>
  <c r="O31" i="147"/>
  <c r="O28" i="147"/>
  <c r="J27" i="147"/>
  <c r="I27" i="147"/>
  <c r="H29" i="147"/>
  <c r="H30" i="147"/>
  <c r="H31" i="147"/>
  <c r="H28" i="147"/>
  <c r="T18" i="147" l="1"/>
  <c r="M18" i="147"/>
  <c r="R18" i="147"/>
  <c r="S28" i="147" s="1"/>
  <c r="Q18" i="147"/>
  <c r="R28" i="147" s="1"/>
  <c r="P18" i="147"/>
  <c r="Q28" i="147" s="1"/>
  <c r="O18" i="147"/>
  <c r="P28" i="147" s="1"/>
  <c r="K18" i="147"/>
  <c r="L28" i="147" s="1"/>
  <c r="J18" i="147"/>
  <c r="K28" i="147" s="1"/>
  <c r="I18" i="147"/>
  <c r="J28" i="147" s="1"/>
  <c r="H18" i="147"/>
  <c r="I28" i="147" s="1"/>
  <c r="U18" i="147" l="1"/>
  <c r="K6" i="146" l="1"/>
  <c r="H6" i="146" l="1"/>
  <c r="M6" i="146"/>
  <c r="I6" i="146"/>
  <c r="C6" i="146"/>
  <c r="E6" i="146"/>
  <c r="E39" i="145"/>
  <c r="F45" i="145"/>
  <c r="J40" i="145"/>
  <c r="I40" i="145"/>
  <c r="I47" i="145"/>
  <c r="I39" i="145"/>
  <c r="I46" i="145"/>
  <c r="I38" i="145"/>
  <c r="H38" i="145"/>
  <c r="E40" i="145"/>
  <c r="F47" i="145" s="1"/>
  <c r="F39" i="145"/>
  <c r="D40" i="145"/>
  <c r="C38" i="145"/>
  <c r="C39" i="145"/>
  <c r="C40" i="145"/>
  <c r="B40" i="145"/>
  <c r="C47" i="145" s="1"/>
  <c r="C46" i="145"/>
  <c r="B38" i="145"/>
  <c r="I37" i="145"/>
  <c r="F37" i="145"/>
  <c r="E37" i="145"/>
  <c r="C37" i="145"/>
  <c r="B37" i="145"/>
  <c r="H41" i="145"/>
  <c r="E41" i="145"/>
  <c r="H29" i="179" l="1"/>
  <c r="H30" i="179"/>
  <c r="G39" i="145"/>
  <c r="E30" i="179"/>
  <c r="C45" i="145"/>
  <c r="E29" i="179"/>
  <c r="I45" i="145"/>
  <c r="J38" i="145"/>
  <c r="D39" i="145"/>
  <c r="J39" i="145"/>
  <c r="D38" i="145"/>
  <c r="L6" i="146"/>
  <c r="F6" i="146"/>
  <c r="J6" i="146"/>
  <c r="F46" i="145"/>
  <c r="I4" i="113"/>
  <c r="I4" i="112"/>
  <c r="I4" i="111"/>
  <c r="I4" i="110"/>
  <c r="I4" i="109"/>
  <c r="I4" i="108"/>
  <c r="I4" i="107"/>
  <c r="K5" i="105"/>
  <c r="J5" i="105"/>
  <c r="I5" i="105"/>
  <c r="H5" i="105"/>
  <c r="A38" i="116"/>
  <c r="I4" i="116"/>
  <c r="D21" i="140"/>
  <c r="D23" i="140" s="1"/>
  <c r="C21" i="140"/>
  <c r="C23" i="140" s="1"/>
  <c r="B21" i="140"/>
  <c r="B23" i="140" s="1"/>
  <c r="D21" i="139"/>
  <c r="D23" i="139" s="1"/>
  <c r="C21" i="139"/>
  <c r="C23" i="139" s="1"/>
  <c r="B21" i="139"/>
  <c r="B23" i="139" s="1"/>
  <c r="E7" i="140" l="1"/>
  <c r="E9" i="140"/>
  <c r="E14" i="140"/>
  <c r="E19" i="140"/>
  <c r="E10" i="140"/>
  <c r="E15" i="140"/>
  <c r="E13" i="140"/>
  <c r="E18" i="140"/>
  <c r="E11" i="140"/>
  <c r="E17" i="140"/>
  <c r="E10" i="139"/>
  <c r="E11" i="139"/>
  <c r="E19" i="139"/>
  <c r="E9" i="139"/>
  <c r="E13" i="139"/>
  <c r="E17" i="139"/>
  <c r="E14" i="139"/>
  <c r="E18" i="139"/>
  <c r="E7" i="139"/>
  <c r="E15" i="139"/>
  <c r="E8" i="139"/>
  <c r="E12" i="139"/>
  <c r="E16" i="139"/>
  <c r="E8" i="140"/>
  <c r="E12" i="140"/>
  <c r="E16" i="140"/>
  <c r="E20" i="140"/>
  <c r="E20" i="139"/>
  <c r="G38" i="116"/>
  <c r="J42" i="116"/>
  <c r="I42" i="116"/>
  <c r="H45" i="116"/>
  <c r="H44" i="116"/>
  <c r="H43" i="116"/>
  <c r="D42" i="116"/>
  <c r="C42" i="116"/>
  <c r="B45" i="116"/>
  <c r="B44" i="116"/>
  <c r="B43" i="116"/>
  <c r="D32" i="133"/>
  <c r="D33" i="133"/>
  <c r="D34" i="133"/>
  <c r="F30" i="133"/>
  <c r="G30" i="133"/>
  <c r="H30" i="133"/>
  <c r="E30" i="133"/>
  <c r="D31" i="133"/>
  <c r="C19" i="133"/>
  <c r="F33" i="133" s="1"/>
  <c r="K22" i="133"/>
  <c r="K18" i="133"/>
  <c r="F18" i="133"/>
  <c r="F22" i="133"/>
  <c r="J23" i="133"/>
  <c r="I23" i="133"/>
  <c r="H23" i="133"/>
  <c r="G23" i="133"/>
  <c r="E23" i="133"/>
  <c r="D23" i="133"/>
  <c r="C23" i="133"/>
  <c r="B23" i="133"/>
  <c r="J22" i="133"/>
  <c r="I22" i="133"/>
  <c r="H22" i="133"/>
  <c r="G22" i="133"/>
  <c r="E22" i="133"/>
  <c r="D22" i="133"/>
  <c r="C22" i="133"/>
  <c r="B22" i="133"/>
  <c r="J21" i="133"/>
  <c r="I21" i="133"/>
  <c r="H21" i="133"/>
  <c r="G21" i="133"/>
  <c r="E21" i="133"/>
  <c r="D21" i="133"/>
  <c r="C21" i="133"/>
  <c r="B21" i="133"/>
  <c r="K20" i="133"/>
  <c r="J20" i="133"/>
  <c r="I20" i="133"/>
  <c r="H20" i="133"/>
  <c r="G20" i="133"/>
  <c r="E20" i="133"/>
  <c r="H34" i="133" s="1"/>
  <c r="D20" i="133"/>
  <c r="G34" i="133" s="1"/>
  <c r="C20" i="133"/>
  <c r="F34" i="133" s="1"/>
  <c r="B20" i="133"/>
  <c r="E34" i="133" s="1"/>
  <c r="J19" i="133"/>
  <c r="I19" i="133"/>
  <c r="H19" i="133"/>
  <c r="G19" i="133"/>
  <c r="E19" i="133"/>
  <c r="H33" i="133" s="1"/>
  <c r="D19" i="133"/>
  <c r="G33" i="133" s="1"/>
  <c r="B19" i="133"/>
  <c r="E33" i="133" s="1"/>
  <c r="J18" i="133"/>
  <c r="I18" i="133"/>
  <c r="H18" i="133"/>
  <c r="G18" i="133"/>
  <c r="E18" i="133"/>
  <c r="H32" i="133" s="1"/>
  <c r="D18" i="133"/>
  <c r="G32" i="133" s="1"/>
  <c r="C18" i="133"/>
  <c r="F32" i="133" s="1"/>
  <c r="B18" i="133"/>
  <c r="E32" i="133" s="1"/>
  <c r="J17" i="133"/>
  <c r="I17" i="133"/>
  <c r="H17" i="133"/>
  <c r="G17" i="133"/>
  <c r="E17" i="133"/>
  <c r="H31" i="133" s="1"/>
  <c r="D17" i="133"/>
  <c r="G31" i="133" s="1"/>
  <c r="C17" i="133"/>
  <c r="F31" i="133" s="1"/>
  <c r="B17" i="133"/>
  <c r="E31" i="133" s="1"/>
  <c r="F20" i="133" l="1"/>
  <c r="E21" i="139"/>
  <c r="E21" i="140"/>
  <c r="K23" i="133"/>
  <c r="K21" i="133"/>
  <c r="K19" i="133"/>
  <c r="K17" i="133"/>
  <c r="F19" i="133"/>
  <c r="F23" i="133"/>
  <c r="F17" i="133"/>
  <c r="F21" i="133"/>
  <c r="B17" i="128"/>
  <c r="R17" i="128"/>
  <c r="Q17" i="128"/>
  <c r="P17" i="128"/>
  <c r="O17" i="128"/>
  <c r="N17" i="128"/>
  <c r="M17" i="128"/>
  <c r="L17" i="128"/>
  <c r="K17" i="128"/>
  <c r="J17" i="128"/>
  <c r="I17" i="128"/>
  <c r="H17" i="128"/>
  <c r="G17" i="128"/>
  <c r="F17" i="128"/>
  <c r="E17" i="128"/>
  <c r="D17" i="128"/>
  <c r="C17" i="128"/>
  <c r="C24" i="122" l="1"/>
  <c r="C23" i="122"/>
  <c r="C22" i="122"/>
  <c r="C21" i="122"/>
  <c r="C20" i="122"/>
  <c r="C18" i="122"/>
  <c r="S24" i="122"/>
  <c r="R24" i="122"/>
  <c r="Q24" i="122"/>
  <c r="N24" i="122"/>
  <c r="M24" i="122"/>
  <c r="L24" i="122"/>
  <c r="K24" i="122"/>
  <c r="S23" i="122"/>
  <c r="R23" i="122"/>
  <c r="Q23" i="122"/>
  <c r="P23" i="122"/>
  <c r="N23" i="122"/>
  <c r="M23" i="122"/>
  <c r="L23" i="122"/>
  <c r="K23" i="122"/>
  <c r="S22" i="122"/>
  <c r="R22" i="122"/>
  <c r="Q22" i="122"/>
  <c r="N22" i="122"/>
  <c r="M22" i="122"/>
  <c r="L22" i="122"/>
  <c r="K22" i="122"/>
  <c r="R21" i="122"/>
  <c r="Q21" i="122"/>
  <c r="N21" i="122"/>
  <c r="M21" i="122"/>
  <c r="L21" i="122"/>
  <c r="K21" i="122"/>
  <c r="S20" i="122"/>
  <c r="R20" i="122"/>
  <c r="Q20" i="122"/>
  <c r="N20" i="122"/>
  <c r="M20" i="122"/>
  <c r="L20" i="122"/>
  <c r="K20" i="122"/>
  <c r="S19" i="122"/>
  <c r="R19" i="122"/>
  <c r="Q19" i="122"/>
  <c r="P19" i="122"/>
  <c r="N19" i="122"/>
  <c r="M19" i="122"/>
  <c r="L19" i="122"/>
  <c r="K19" i="122"/>
  <c r="S18" i="122"/>
  <c r="Q18" i="122"/>
  <c r="N18" i="122"/>
  <c r="M18" i="122"/>
  <c r="K18" i="122"/>
  <c r="P21" i="122"/>
  <c r="O21" i="122"/>
  <c r="P20" i="122"/>
  <c r="O20" i="122"/>
  <c r="O23" i="122"/>
  <c r="P24" i="122"/>
  <c r="O24" i="122"/>
  <c r="P22" i="122"/>
  <c r="O22" i="122"/>
  <c r="J24" i="122"/>
  <c r="I24" i="122"/>
  <c r="H24" i="122"/>
  <c r="E24" i="122"/>
  <c r="D24" i="122"/>
  <c r="B24" i="122"/>
  <c r="J23" i="122"/>
  <c r="I23" i="122"/>
  <c r="H23" i="122"/>
  <c r="E23" i="122"/>
  <c r="D23" i="122"/>
  <c r="B23" i="122"/>
  <c r="J22" i="122"/>
  <c r="I22" i="122"/>
  <c r="H22" i="122"/>
  <c r="E22" i="122"/>
  <c r="D22" i="122"/>
  <c r="J21" i="122"/>
  <c r="I21" i="122"/>
  <c r="H21" i="122"/>
  <c r="E21" i="122"/>
  <c r="D21" i="122"/>
  <c r="B21" i="122"/>
  <c r="J20" i="122"/>
  <c r="H20" i="122"/>
  <c r="E20" i="122"/>
  <c r="D20" i="122"/>
  <c r="J19" i="122"/>
  <c r="I19" i="122"/>
  <c r="H19" i="122"/>
  <c r="E19" i="122"/>
  <c r="D19" i="122"/>
  <c r="J18" i="122"/>
  <c r="I18" i="122"/>
  <c r="H18" i="122"/>
  <c r="E18" i="122"/>
  <c r="G21" i="122"/>
  <c r="G20" i="122"/>
  <c r="G19" i="122"/>
  <c r="G24" i="122"/>
  <c r="O18" i="122" l="1"/>
  <c r="P18" i="122"/>
  <c r="F24" i="122"/>
  <c r="G22" i="122"/>
  <c r="F19" i="122"/>
  <c r="F21" i="122"/>
  <c r="F23" i="122"/>
  <c r="G23" i="122"/>
  <c r="F18" i="122"/>
  <c r="F20" i="122"/>
  <c r="F22" i="122"/>
  <c r="B23" i="120" l="1"/>
  <c r="C23" i="120"/>
  <c r="E10" i="120" l="1"/>
  <c r="E13" i="120"/>
  <c r="E20" i="120"/>
  <c r="E19" i="120"/>
  <c r="E12" i="120"/>
  <c r="E17" i="120"/>
  <c r="E9" i="120"/>
  <c r="D23" i="120"/>
  <c r="E15" i="120"/>
  <c r="E8" i="120"/>
  <c r="E16" i="120"/>
  <c r="E11" i="120"/>
  <c r="E18" i="120"/>
  <c r="E14" i="120"/>
  <c r="E21" i="120" l="1"/>
  <c r="E30" i="116"/>
  <c r="F34" i="116" l="1"/>
  <c r="E34" i="116"/>
  <c r="F30" i="116"/>
  <c r="E31" i="116"/>
  <c r="F31" i="116"/>
  <c r="F32" i="116"/>
  <c r="F29" i="116"/>
  <c r="D30" i="116"/>
  <c r="D31" i="116"/>
  <c r="D32" i="116"/>
  <c r="D29" i="116"/>
  <c r="E29" i="116"/>
  <c r="H27" i="116"/>
  <c r="F22" i="140" s="1"/>
  <c r="D45" i="116"/>
  <c r="H25" i="116"/>
  <c r="H24" i="116"/>
  <c r="H23" i="116"/>
  <c r="H22" i="116"/>
  <c r="H20" i="116"/>
  <c r="F22" i="139" s="1"/>
  <c r="D44" i="116"/>
  <c r="H18" i="116"/>
  <c r="H17" i="116"/>
  <c r="H16" i="116"/>
  <c r="H15" i="116"/>
  <c r="H9" i="116"/>
  <c r="H10" i="116"/>
  <c r="H11" i="116"/>
  <c r="F22" i="120"/>
  <c r="H8" i="116"/>
  <c r="C22" i="141" l="1"/>
  <c r="D22" i="141"/>
  <c r="E35" i="116"/>
  <c r="D35" i="116"/>
  <c r="E38" i="179" s="1"/>
  <c r="F35" i="116"/>
  <c r="H34" i="116"/>
  <c r="F22" i="141" s="1"/>
  <c r="H30" i="116"/>
  <c r="H32" i="116"/>
  <c r="H21" i="116"/>
  <c r="F11" i="161" s="1"/>
  <c r="C44" i="116"/>
  <c r="H31" i="116"/>
  <c r="H29" i="116"/>
  <c r="D11" i="163" l="1"/>
  <c r="B11" i="163"/>
  <c r="C11" i="163"/>
  <c r="E10" i="163" s="1"/>
  <c r="E36" i="179" s="1"/>
  <c r="F23" i="139"/>
  <c r="G23" i="116"/>
  <c r="G27" i="116"/>
  <c r="G24" i="116"/>
  <c r="G22" i="116"/>
  <c r="G25" i="116"/>
  <c r="G26" i="116"/>
  <c r="D43" i="116"/>
  <c r="D46" i="116" s="1"/>
  <c r="J43" i="116"/>
  <c r="J44" i="116"/>
  <c r="J45" i="116"/>
  <c r="H28" i="116"/>
  <c r="F11" i="162" s="1"/>
  <c r="C45" i="116"/>
  <c r="C43" i="116"/>
  <c r="F11" i="126"/>
  <c r="E7" i="163" l="1"/>
  <c r="E33" i="179" s="1"/>
  <c r="E9" i="163"/>
  <c r="E35" i="179" s="1"/>
  <c r="E8" i="163"/>
  <c r="G28" i="116"/>
  <c r="F23" i="140"/>
  <c r="C46" i="116"/>
  <c r="I43" i="116"/>
  <c r="G30" i="116"/>
  <c r="G32" i="116"/>
  <c r="G34" i="116"/>
  <c r="G29" i="116"/>
  <c r="G31" i="116"/>
  <c r="G33" i="116"/>
  <c r="J46" i="116"/>
  <c r="H35" i="116"/>
  <c r="F11" i="163" s="1"/>
  <c r="I45" i="116"/>
  <c r="I44" i="116"/>
  <c r="E11" i="163" l="1"/>
  <c r="E34" i="179"/>
  <c r="G35" i="116"/>
  <c r="F23" i="141"/>
  <c r="I46" i="116"/>
  <c r="F15" i="140"/>
  <c r="F15" i="139"/>
  <c r="F15" i="120"/>
  <c r="F13" i="140"/>
  <c r="F13" i="139"/>
  <c r="F13" i="120"/>
  <c r="E28" i="107"/>
  <c r="F28" i="107"/>
  <c r="E29" i="107"/>
  <c r="F29" i="107"/>
  <c r="E30" i="107"/>
  <c r="F30" i="107"/>
  <c r="F27" i="107"/>
  <c r="E27" i="107"/>
  <c r="D28" i="107"/>
  <c r="D29" i="107"/>
  <c r="F32" i="107" l="1"/>
  <c r="D32" i="107"/>
  <c r="B7" i="141" s="1"/>
  <c r="E32" i="107"/>
  <c r="B15" i="141"/>
  <c r="D15" i="141"/>
  <c r="C9" i="141"/>
  <c r="B8" i="141"/>
  <c r="B17" i="141"/>
  <c r="B13" i="141"/>
  <c r="D13" i="141"/>
  <c r="D19" i="141"/>
  <c r="B18" i="141"/>
  <c r="D17" i="141"/>
  <c r="B16" i="141"/>
  <c r="B14" i="141"/>
  <c r="B12" i="141"/>
  <c r="D11" i="141"/>
  <c r="B11" i="141"/>
  <c r="F11" i="141"/>
  <c r="C11" i="141"/>
  <c r="B10" i="141"/>
  <c r="D9" i="141"/>
  <c r="B9" i="141"/>
  <c r="D8" i="141"/>
  <c r="F8" i="140"/>
  <c r="B19" i="141"/>
  <c r="B20" i="141"/>
  <c r="F19" i="120"/>
  <c r="F19" i="139"/>
  <c r="F19" i="140"/>
  <c r="C19" i="141"/>
  <c r="F17" i="120"/>
  <c r="F17" i="139"/>
  <c r="F17" i="140"/>
  <c r="F11" i="120"/>
  <c r="F11" i="139"/>
  <c r="F11" i="140"/>
  <c r="F9" i="120"/>
  <c r="F9" i="139"/>
  <c r="F9" i="140"/>
  <c r="D7" i="141"/>
  <c r="F8" i="139"/>
  <c r="F8" i="120"/>
  <c r="H18" i="107"/>
  <c r="H12" i="107"/>
  <c r="H24" i="107"/>
  <c r="H27" i="107"/>
  <c r="H11" i="107"/>
  <c r="H17" i="107"/>
  <c r="H23" i="107"/>
  <c r="H26" i="107"/>
  <c r="F7" i="140" s="1"/>
  <c r="H28" i="107"/>
  <c r="H10" i="107"/>
  <c r="F7" i="120"/>
  <c r="H16" i="107"/>
  <c r="H20" i="107"/>
  <c r="F7" i="139" s="1"/>
  <c r="H22" i="107"/>
  <c r="H29" i="107"/>
  <c r="H15" i="107"/>
  <c r="H21" i="107"/>
  <c r="H30" i="107"/>
  <c r="H32" i="107" l="1"/>
  <c r="F7" i="141" s="1"/>
  <c r="G31" i="107"/>
  <c r="C7" i="141"/>
  <c r="F9" i="141"/>
  <c r="F8" i="141"/>
  <c r="F17" i="141"/>
  <c r="C17" i="141"/>
  <c r="F15" i="141"/>
  <c r="C15" i="141"/>
  <c r="B21" i="141"/>
  <c r="B23" i="141" s="1"/>
  <c r="F13" i="141"/>
  <c r="C13" i="141"/>
  <c r="D21" i="141"/>
  <c r="E8" i="141" s="1"/>
  <c r="C8" i="141"/>
  <c r="F19" i="141"/>
  <c r="G28" i="107"/>
  <c r="G30" i="107"/>
  <c r="G29" i="107"/>
  <c r="G27" i="107"/>
  <c r="G32" i="107" l="1"/>
  <c r="C21" i="141"/>
  <c r="C23" i="141" s="1"/>
  <c r="E17" i="141"/>
  <c r="E7" i="141"/>
  <c r="E18" i="141"/>
  <c r="E13" i="141"/>
  <c r="E14" i="141"/>
  <c r="E12" i="141"/>
  <c r="E15" i="141"/>
  <c r="E11" i="141"/>
  <c r="E10" i="141"/>
  <c r="E16" i="141"/>
  <c r="E9" i="141"/>
  <c r="E19" i="141"/>
  <c r="E20" i="141"/>
  <c r="D23" i="141"/>
  <c r="E21" i="141" l="1"/>
</calcChain>
</file>

<file path=xl/sharedStrings.xml><?xml version="1.0" encoding="utf-8"?>
<sst xmlns="http://schemas.openxmlformats.org/spreadsheetml/2006/main" count="1544" uniqueCount="321">
  <si>
    <t>Celkem</t>
  </si>
  <si>
    <t>Praha</t>
  </si>
  <si>
    <t>Česká republika</t>
  </si>
  <si>
    <t>Celkem ČR</t>
  </si>
  <si>
    <t>VO</t>
  </si>
  <si>
    <t>SO</t>
  </si>
  <si>
    <t>MO</t>
  </si>
  <si>
    <t>DOM</t>
  </si>
  <si>
    <t>Jihočeský</t>
  </si>
  <si>
    <t>Jihomoravský</t>
  </si>
  <si>
    <t>Karlovarský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</si>
  <si>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</si>
  <si>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</si>
  <si>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</si>
  <si>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</si>
  <si>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</si>
  <si>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</si>
  <si>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</si>
  <si>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</si>
  <si>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</si>
  <si>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PP Distribuce</t>
  </si>
  <si>
    <t>do ČR</t>
  </si>
  <si>
    <t>z ČR</t>
  </si>
  <si>
    <t>přes HPS</t>
  </si>
  <si>
    <t>přes PPL</t>
  </si>
  <si>
    <t>celkem</t>
  </si>
  <si>
    <t>ze ZP</t>
  </si>
  <si>
    <t>do ZP</t>
  </si>
  <si>
    <t>z VP do DS</t>
  </si>
  <si>
    <t>ostatní plyn</t>
  </si>
  <si>
    <t>celkem ČR</t>
  </si>
  <si>
    <t>VS</t>
  </si>
  <si>
    <t>Ostatní společnosti</t>
  </si>
  <si>
    <t>Podíl</t>
  </si>
  <si>
    <t>Ostatní společnosti *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</si>
  <si>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</si>
  <si>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</si>
  <si>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</si>
  <si>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</si>
  <si>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</si>
  <si>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</si>
  <si>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</si>
  <si>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</si>
  <si>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</si>
  <si>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</si>
  <si>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</si>
  <si>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</si>
  <si>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</si>
  <si>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I. čtvrtletí</t>
  </si>
  <si>
    <t>Tok plynu do/z plynárenské soustavy ČR</t>
  </si>
  <si>
    <t>Výroba plynu 
v ČR</t>
  </si>
  <si>
    <t>saldo 
do/z ČR</t>
  </si>
  <si>
    <t>saldo 
ze/do ZP</t>
  </si>
  <si>
    <t>spotřeba 
v RDS</t>
  </si>
  <si>
    <t>stav zásob v ZP celkem</t>
  </si>
  <si>
    <t>Celkem v ČR</t>
  </si>
  <si>
    <t>II. čtvrtletí</t>
  </si>
  <si>
    <t>IV. čtvrtletí</t>
  </si>
  <si>
    <t>I. pololetí</t>
  </si>
  <si>
    <t>II. pololetí</t>
  </si>
  <si>
    <t>Spotřeba plynu</t>
  </si>
  <si>
    <t xml:space="preserve">       Průměrná teplota ovzduší podle krajů (°C)</t>
  </si>
  <si>
    <t>Průměr</t>
  </si>
  <si>
    <t>III. čtvrtletí</t>
  </si>
  <si>
    <t>Spotřeba plynu
v ČR</t>
  </si>
  <si>
    <t>Maximální a minimální teplota ovzduší 
podle území plynárenských společností (°C)</t>
  </si>
  <si>
    <t>zákazníci</t>
  </si>
  <si>
    <t xml:space="preserve"> Jihočeský</t>
  </si>
  <si>
    <t xml:space="preserve"> Jihomoravský</t>
  </si>
  <si>
    <t xml:space="preserve"> Karlovarský</t>
  </si>
  <si>
    <t xml:space="preserve"> Liberecký</t>
  </si>
  <si>
    <t xml:space="preserve"> Moravskoslezský</t>
  </si>
  <si>
    <t xml:space="preserve"> Olomoucký</t>
  </si>
  <si>
    <t xml:space="preserve"> Pardubický</t>
  </si>
  <si>
    <t xml:space="preserve"> Plzeňský</t>
  </si>
  <si>
    <t xml:space="preserve"> Praha</t>
  </si>
  <si>
    <t xml:space="preserve"> Středočeský</t>
  </si>
  <si>
    <t xml:space="preserve"> Ústecký</t>
  </si>
  <si>
    <t xml:space="preserve"> Vysočina</t>
  </si>
  <si>
    <t xml:space="preserve"> Zlínský</t>
  </si>
  <si>
    <t xml:space="preserve"> Celkem</t>
  </si>
  <si>
    <t xml:space="preserve"> Celkem ČR</t>
  </si>
  <si>
    <t xml:space="preserve"> PP Distribuce</t>
  </si>
  <si>
    <t xml:space="preserve"> Ostatní společnosti</t>
  </si>
  <si>
    <t>zákazníci připojeni přímo k PS</t>
  </si>
  <si>
    <t>výroba plynu (VS)</t>
  </si>
  <si>
    <t>GasNet</t>
  </si>
  <si>
    <t>GasNet, s.r.o.</t>
  </si>
  <si>
    <t xml:space="preserve"> GasNet</t>
  </si>
  <si>
    <t>Hlavní město Praha</t>
  </si>
  <si>
    <t xml:space="preserve"> Královéhradecký</t>
  </si>
  <si>
    <t>Královéhradecký</t>
  </si>
  <si>
    <t>CNG</t>
  </si>
  <si>
    <t>OP+VS+PKS</t>
  </si>
  <si>
    <t xml:space="preserve"> OP+VS+PKS</t>
  </si>
  <si>
    <t>VS+PKS</t>
  </si>
  <si>
    <t>Bilanční rozdíl v PS</t>
  </si>
  <si>
    <t>Compressed Natural Gas (stlačený zemní plyn)</t>
  </si>
  <si>
    <t>ČHMÚ</t>
  </si>
  <si>
    <t>Český hydrometeorologický ústav</t>
  </si>
  <si>
    <t>Domácnosti (kategorie zákazníků)</t>
  </si>
  <si>
    <t>DS</t>
  </si>
  <si>
    <t>Distribuční soustava</t>
  </si>
  <si>
    <t>DTG</t>
  </si>
  <si>
    <t>Denní teplotní gradient (změna spotřeby plynu při jednotkové změně teploty)</t>
  </si>
  <si>
    <t>HPS</t>
  </si>
  <si>
    <t>Hraniční předávací stanice</t>
  </si>
  <si>
    <t>KS</t>
  </si>
  <si>
    <t>Kompresní stanice</t>
  </si>
  <si>
    <t>LDS</t>
  </si>
  <si>
    <t>Lokální distribuční soustava</t>
  </si>
  <si>
    <t>Maloodběratelé (kategorie zákazníků)</t>
  </si>
  <si>
    <t>NET4GAS</t>
  </si>
  <si>
    <t>Normál</t>
  </si>
  <si>
    <t>Dlouhodobý teplotní normál vytvořený pro plynárenství ČHMÚ</t>
  </si>
  <si>
    <t>Odchylka</t>
  </si>
  <si>
    <t>Odchylka průměrné teploty od dlouhodobého teplotního normálu</t>
  </si>
  <si>
    <t>OP</t>
  </si>
  <si>
    <t>Ostatní plyn (zahrnuje vlastní spotřebu, ztráty a změnu akumulace na distribučních soustavách)</t>
  </si>
  <si>
    <t>NET4GAS, s.r.o., všechny LDS, výrobci plynu</t>
  </si>
  <si>
    <t>PDS</t>
  </si>
  <si>
    <t>Provozovatelé distribučních soustav</t>
  </si>
  <si>
    <t>PKS</t>
  </si>
  <si>
    <t>Plyn pro pohon kompresních stanic na přepravní soustavě</t>
  </si>
  <si>
    <t>POD</t>
  </si>
  <si>
    <t>Podnikatelé</t>
  </si>
  <si>
    <t>PPE</t>
  </si>
  <si>
    <t>Paroplynová elektrárna</t>
  </si>
  <si>
    <t>PPL</t>
  </si>
  <si>
    <t>Přeshraniční plynovod</t>
  </si>
  <si>
    <t>PPS</t>
  </si>
  <si>
    <t>Provozovatel přepravní soustavy</t>
  </si>
  <si>
    <t>Přepočet</t>
  </si>
  <si>
    <t>PS</t>
  </si>
  <si>
    <t>Přepravní soustava</t>
  </si>
  <si>
    <t>RDS</t>
  </si>
  <si>
    <t>Regionální distribuční soustava</t>
  </si>
  <si>
    <t>Skutečnost</t>
  </si>
  <si>
    <t>Skutečně naměřená spotřeba zemního plynu</t>
  </si>
  <si>
    <t>Střední odběratelé (kategorie zákazníků)</t>
  </si>
  <si>
    <t>Velkoodběratelé (kategorie zákazníků)</t>
  </si>
  <si>
    <t>VP</t>
  </si>
  <si>
    <t>Výroba plynu</t>
  </si>
  <si>
    <t>Vlastní spotřeba výrobců plynu</t>
  </si>
  <si>
    <t>Zákazníci</t>
  </si>
  <si>
    <t>Spotřeba plynu zákazníků ve všech kategoriích odběru</t>
  </si>
  <si>
    <t>ZP</t>
  </si>
  <si>
    <t>Zásobník plynu</t>
  </si>
  <si>
    <t>Přepočtená spotřeba zemního plynu na teplotní podmínky dlouhodobého teplotního normálu</t>
  </si>
  <si>
    <t>Tok plynu ze/do ZP, které náleží do plynárenské soustavy ČR</t>
  </si>
  <si>
    <t>PLS</t>
  </si>
  <si>
    <t>Plynárenská soustava</t>
  </si>
  <si>
    <t>Prognóza spotřeby plynu *</t>
  </si>
  <si>
    <t>Spotřeba plynu 
na výrobu 
elektřiny</t>
  </si>
  <si>
    <t>Skutečná spotřeba 
plynu v ČR</t>
  </si>
  <si>
    <t>Přepočtená spotřeba 
plynu v ČR</t>
  </si>
  <si>
    <t>Teplota ovzduší v ČR (°C)</t>
  </si>
  <si>
    <t>Období</t>
  </si>
  <si>
    <t>Počet zákazníků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</si>
  <si>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</si>
  <si>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</si>
  <si>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</si>
  <si>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</si>
  <si>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</si>
  <si>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</si>
  <si>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</si>
  <si>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</si>
  <si>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</si>
  <si>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</si>
  <si>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</si>
  <si>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</si>
  <si>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Rok</t>
  </si>
  <si>
    <t>Max.</t>
  </si>
  <si>
    <t>Min.</t>
  </si>
  <si>
    <t>Den</t>
  </si>
  <si>
    <t>Maximum při teplotě</t>
  </si>
  <si>
    <t>Minimum při teplotě</t>
  </si>
  <si>
    <t>Denní průměr</t>
  </si>
  <si>
    <t>Dlouhodobý DTG</t>
  </si>
  <si>
    <t>Aktuální DTG</t>
  </si>
  <si>
    <t>Mod. spotřeba při 0°C</t>
  </si>
  <si>
    <t>Mod. spotřeba při -12°C</t>
  </si>
  <si>
    <t>Průměrná teplota</t>
  </si>
  <si>
    <t>Kategorie</t>
  </si>
  <si>
    <t>Počet 
zákazníků</t>
  </si>
  <si>
    <t>Teplota ovzduší</t>
  </si>
  <si>
    <t xml:space="preserve">                           Kraje</t>
  </si>
  <si>
    <t>Přepravní soustava a zásobníky plynu ČR</t>
  </si>
  <si>
    <t>Bilanční rozdíl
v přepravní soustavě</t>
  </si>
  <si>
    <t>saldo
ze/do ZP</t>
  </si>
  <si>
    <t>saldo
do/z ČR</t>
  </si>
  <si>
    <t>Tok plynu do/z
plynárenské soustavy ČR</t>
  </si>
  <si>
    <t>Tok plynu ze/do ZP,
které náleží do PLS ČR</t>
  </si>
  <si>
    <t>Spotřeba plynu [MWh]</t>
  </si>
  <si>
    <t>připojena 
k RDS</t>
  </si>
  <si>
    <t>připojena 
k LDS</t>
  </si>
  <si>
    <t>Do ČR</t>
  </si>
  <si>
    <t>Z ČR</t>
  </si>
  <si>
    <t>Ze ZP</t>
  </si>
  <si>
    <t>Do ZP</t>
  </si>
  <si>
    <t>* Ostatní společnosti zahrnují dodávky zákazníkům připojeným přímo na přepravní soustavu a plyn pro pohon kompresních stanic (PKS) společnosti NET4GAS, s.r.o., dodávky v ostrovních LDS (nejsou zahrnuty v RDS), všechny lokální distribuční soustavy, které jsou napojeny na RDS (uveden pouze počet zákazníků a stanice CNG, spotřeba plynu již zahrnuta v RDS) a vlastní spotřebu (VS) výrobců plynu.</t>
  </si>
  <si>
    <t xml:space="preserve">Společnost GasNet, s.r.o. (provozovatel regionální distribuční soustavy) </t>
  </si>
  <si>
    <t>Společnost NET4GAS, s.r.o. (provozovatel přepravní plynárenské soustavy)</t>
  </si>
  <si>
    <t>Společnost Pražská plynárenská Distribuce, a.s., člen koncernu Pražská plynárenská, a.s. (provozovatel regionální distribuční soustavy)</t>
  </si>
  <si>
    <t>±1,0</t>
  </si>
  <si>
    <t>EG.D, a.s.</t>
  </si>
  <si>
    <t>Společnost EG.D, a.s. (provozovatel regionální distribuční soustavy)</t>
  </si>
  <si>
    <t>EG.D</t>
  </si>
  <si>
    <t xml:space="preserve"> EG.D</t>
  </si>
  <si>
    <t>MND ES</t>
  </si>
  <si>
    <t>Společnost MND Energy Storage a.s. (provozovatel zásobníku plynu)</t>
  </si>
  <si>
    <t>Dodávky zemního plynu probíhaly ve sledovaném období plynule dle požadavků zákazníků, a to podle základního odběrového stupně, který znamená nekrácený odběr na základě smluvně sjednaného denního odběru plynu (vyhláška č. 344/2012 Sb., o stavu nouze v plynárenství a o způsobu zajištění bezpečnostního standardu dodávky plynu, ve znění pozdějších předpisů).</t>
  </si>
  <si>
    <t>Tok plynu do plynárenské soustavy ČR</t>
  </si>
  <si>
    <t>/</t>
  </si>
  <si>
    <t>GWh</t>
  </si>
  <si>
    <t>Tok plynu z plynárenské soustavy ČR</t>
  </si>
  <si>
    <t>Tok plynu ze zásobníků plynu ČR (těžba)</t>
  </si>
  <si>
    <t>Tok plynu do zásobníků plynu ČR (vtláčení)</t>
  </si>
  <si>
    <t>Stav provozních zásob u zásobníků plynu ČR na konci čtrvrtletí</t>
  </si>
  <si>
    <t>Dodávky od výrobců plynu vč. vlastní spotřeby (vnitrostátní těžba)</t>
  </si>
  <si>
    <t>Skutečná spotřeba plynu v ČR</t>
  </si>
  <si>
    <t>Meziroční změna skutečné spotřeby plynu (nárůst +, pokles -)</t>
  </si>
  <si>
    <t>%</t>
  </si>
  <si>
    <t>Přepočtená spotřeba plynu v ČR</t>
  </si>
  <si>
    <t>Meziroční změna přepočtené spotřeby plynu (nárůst +, pokles -)</t>
  </si>
  <si>
    <t>Průměrná teplota za celé čtvrtletí</t>
  </si>
  <si>
    <t>°C</t>
  </si>
  <si>
    <t>Dlouhodobý teplotní normál</t>
  </si>
  <si>
    <t>Odchylka od dlouhodobého teplotního normálu</t>
  </si>
  <si>
    <t>Maximální denní spotřeba plynu v ČR</t>
  </si>
  <si>
    <t>Minimální denní spotřeba plynu v ČR</t>
  </si>
  <si>
    <t>Podíl / meziroční změna u společnosti PP Distribuce</t>
  </si>
  <si>
    <t>Podíl / meziroční změna u společnosti GasNet</t>
  </si>
  <si>
    <t>Podíl / meziroční změna u společnosti EG.D</t>
  </si>
  <si>
    <t>Podíl / meziroční změna u ostatních společností</t>
  </si>
  <si>
    <t>Celkový počet zákazníků v plynárenské soustavě ČR</t>
  </si>
  <si>
    <t>Bilanční rozdíl 
v PS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</si>
  <si>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podíl spotřeby plynárenských společností 
    na celkové spotřebě v ČR</t>
    </r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</si>
  <si>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dlouhodobý teplotní normál</t>
    </r>
  </si>
  <si>
    <r>
      <rPr>
        <vertAlign val="superscript"/>
        <sz val="8"/>
        <rFont val="Arial"/>
        <family val="2"/>
        <charset val="238"/>
      </rPr>
      <t xml:space="preserve">3) </t>
    </r>
    <r>
      <rPr>
        <sz val="8"/>
        <rFont val="Arial"/>
        <family val="2"/>
        <charset val="238"/>
      </rPr>
      <t>odchylka od dlouhodobého teplotního normálu</t>
    </r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</si>
  <si>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podíl spotřeby kraje na celkové spotřebě 
   zákazníků v ČR</t>
    </r>
  </si>
  <si>
    <t>OBSAH</t>
  </si>
  <si>
    <t>ÚVOD</t>
  </si>
  <si>
    <t>Výroba plynu
v ČR
(včetně VS)</t>
  </si>
  <si>
    <r>
      <t>Tok plynu do/z plynárenské soustavy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</si>
  <si>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Tok plynu ze/do ZP, které náleží do PLS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</si>
  <si>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Spotřeba plynu v ČR 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</si>
  <si>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Plynárenská soustava</t>
    </r>
    <r>
      <rPr>
        <sz val="11"/>
        <color rgb="FF233060"/>
        <rFont val="Arial"/>
        <family val="2"/>
        <charset val="238"/>
      </rPr>
      <t xml:space="preserve"> (kapitola 3)</t>
    </r>
  </si>
  <si>
    <r>
      <t xml:space="preserve">Spotřeba zemního plynu </t>
    </r>
    <r>
      <rPr>
        <sz val="11"/>
        <color rgb="FF233060"/>
        <rFont val="Arial"/>
        <family val="2"/>
        <charset val="238"/>
      </rPr>
      <t>(kapitola 4)</t>
    </r>
  </si>
  <si>
    <r>
      <t>Spotřeba zemního plynu podle distribučních soustav</t>
    </r>
    <r>
      <rPr>
        <sz val="11"/>
        <color rgb="FF233060"/>
        <rFont val="Arial"/>
        <family val="2"/>
        <charset val="238"/>
      </rPr>
      <t xml:space="preserve"> (kapitola 5)</t>
    </r>
  </si>
  <si>
    <r>
      <t>Spotřeba plynu po kategoriích 
(mil.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</si>
  <si>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Spotřeba plynu celkem 
(GWh)</t>
  </si>
  <si>
    <t>Pražská plynárenská 
Distribuce, a.s.</t>
  </si>
  <si>
    <t>Spotřeba plynu podle krajů (MWh)</t>
  </si>
  <si>
    <r>
      <t>mil. m</t>
    </r>
    <r>
      <rPr>
        <vertAlign val="superscript"/>
        <sz val="11"/>
        <rFont val="Arial"/>
        <family val="2"/>
        <charset val="238"/>
      </rPr>
      <t>3</t>
    </r>
  </si>
  <si>
    <t xml:space="preserve"> </t>
  </si>
  <si>
    <r>
      <t>mil. m</t>
    </r>
    <r>
      <rPr>
        <b/>
        <vertAlign val="superscript"/>
        <sz val="8"/>
        <rFont val="Arial"/>
        <family val="2"/>
        <charset val="238"/>
      </rPr>
      <t>3</t>
    </r>
  </si>
  <si>
    <r>
      <t>tis. m</t>
    </r>
    <r>
      <rPr>
        <b/>
        <vertAlign val="superscript"/>
        <sz val="8"/>
        <rFont val="Arial"/>
        <family val="2"/>
        <charset val="238"/>
      </rPr>
      <t>3</t>
    </r>
  </si>
  <si>
    <t>MWh</t>
  </si>
  <si>
    <t>Teplota ovzduší v ČR</t>
  </si>
  <si>
    <t xml:space="preserve"> změna</t>
  </si>
  <si>
    <t>změna</t>
  </si>
  <si>
    <t>OP
VS
PKS</t>
  </si>
  <si>
    <t>Max</t>
  </si>
  <si>
    <t>Min</t>
  </si>
  <si>
    <r>
      <t>(tis. m</t>
    </r>
    <r>
      <rPr>
        <b/>
        <vertAlign val="superscript"/>
        <sz val="8"/>
        <color rgb="FF233060"/>
        <rFont val="Arial"/>
        <family val="2"/>
        <charset val="238"/>
      </rPr>
      <t>3</t>
    </r>
    <r>
      <rPr>
        <b/>
        <sz val="8"/>
        <color rgb="FF233060"/>
        <rFont val="Arial"/>
        <family val="2"/>
        <charset val="238"/>
      </rPr>
      <t>)</t>
    </r>
  </si>
  <si>
    <t>Změna spotřeby</t>
  </si>
  <si>
    <r>
      <t>Spotřeba plynu 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</si>
  <si>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Podíl jednotlivých měsíců na spotřebě plynu</t>
  </si>
  <si>
    <r>
      <t>Spotřeba plynu podle plynárenských společností 
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</si>
  <si>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t>Průměrná teplota ovzduší podle plynárenských společností (°C)</t>
  </si>
  <si>
    <t>Podíl spotřeby plynu 
podle plynárenských společností</t>
  </si>
  <si>
    <r>
      <t>Spotřeba plynu (tis.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  <charset val="238"/>
      </rPr>
      <t>)</t>
    </r>
  </si>
  <si>
    <t>Spotřeba plynu (MWh)</t>
  </si>
  <si>
    <r>
      <t>Spotřeba zemního plynu podle plynárenských soustav v ČR po jednotlivých čtvrtletích (tis. m</t>
    </r>
    <r>
      <rPr>
        <b/>
        <vertAlign val="superscript"/>
        <sz val="10"/>
        <color rgb="FF233060"/>
        <rFont val="Arial"/>
        <family val="2"/>
        <charset val="238"/>
      </rPr>
      <t>3</t>
    </r>
    <r>
      <rPr>
        <b/>
        <sz val="10"/>
        <color rgb="FF233060"/>
        <rFont val="Arial"/>
        <family val="2"/>
        <charset val="238"/>
      </rPr>
      <t>)</t>
    </r>
  </si>
  <si>
    <r>
      <t>Podíl</t>
    </r>
    <r>
      <rPr>
        <b/>
        <vertAlign val="superscript"/>
        <sz val="8"/>
        <rFont val="Arial"/>
        <family val="2"/>
        <charset val="238"/>
      </rPr>
      <t>1)</t>
    </r>
  </si>
  <si>
    <r>
      <t>Normál</t>
    </r>
    <r>
      <rPr>
        <b/>
        <vertAlign val="superscript"/>
        <sz val="8"/>
        <color theme="1"/>
        <rFont val="Arial"/>
        <family val="2"/>
        <charset val="238"/>
      </rPr>
      <t>2)</t>
    </r>
  </si>
  <si>
    <r>
      <t>Odchylka</t>
    </r>
    <r>
      <rPr>
        <b/>
        <vertAlign val="superscript"/>
        <sz val="8"/>
        <color theme="1"/>
        <rFont val="Arial"/>
        <family val="2"/>
        <charset val="238"/>
      </rPr>
      <t>3)</t>
    </r>
  </si>
  <si>
    <t>Změna</t>
  </si>
  <si>
    <t>Plynárenské 
společnosti</t>
  </si>
  <si>
    <r>
      <t>Normál</t>
    </r>
    <r>
      <rPr>
        <b/>
        <vertAlign val="superscript"/>
        <sz val="8"/>
        <rFont val="Arial"/>
        <family val="2"/>
        <charset val="238"/>
      </rPr>
      <t>2)</t>
    </r>
  </si>
  <si>
    <r>
      <t>Odchylka</t>
    </r>
    <r>
      <rPr>
        <b/>
        <vertAlign val="superscript"/>
        <sz val="8"/>
        <rFont val="Arial"/>
        <family val="2"/>
        <charset val="238"/>
      </rPr>
      <t>3)</t>
    </r>
  </si>
  <si>
    <t>1 ZKRATKY A POJMY</t>
  </si>
  <si>
    <t>3 PLYNÁRENSKÁ SOUSTAVA</t>
  </si>
  <si>
    <t>4 SPOTŘEBA ZEMNÍHO PLYNU</t>
  </si>
  <si>
    <t>5 SPOTŘEBA ZEMNÍHO PLYNU PODLE DISTRIBUČNÍCH SOUSTAV</t>
  </si>
  <si>
    <t>6 SPOTŘEBA ZEMNÍHO PLYNU PODLE KRAJŮ</t>
  </si>
  <si>
    <t>7 MAPA PLYNÁRENSKÉ SOUSTAVY ČR</t>
  </si>
  <si>
    <t>3.1 Čtvrtletní bilance plynárenské soustavy ČR</t>
  </si>
  <si>
    <t>3.2 Bilance plynárenské soustavy ČR v průběhu roku</t>
  </si>
  <si>
    <t>4.1 Spotřeba zemního plynu v ČR v průběhu roku</t>
  </si>
  <si>
    <t>4.2 Spotřeba zemního plynu v ČR podle kategorií zákazníků v průběhu roku</t>
  </si>
  <si>
    <t>4.3 Denní průběh spotřeb zemního plynu v ČR</t>
  </si>
  <si>
    <t>5.1 Spotřeba zemního plynu podle kategorií zákazníků v ČR</t>
  </si>
  <si>
    <t>5.2 Spotřeba zemního plynu u společnosti PP Distribuce</t>
  </si>
  <si>
    <t>5.3 Spotřeba zemního plynu u společnosti GasNet</t>
  </si>
  <si>
    <t>5.4 Spotřeba zemního plynu u společnosti EG.D</t>
  </si>
  <si>
    <t>5.5 Spotřeba zemního plynu u ostatních společností</t>
  </si>
  <si>
    <t>5.10 Spotřeba zemního plynu podle plynárenských soustav v průběhu roku</t>
  </si>
  <si>
    <t>6.1 Spotřeba zemního plynu: Jihočeský a Jihomoravský kraj</t>
  </si>
  <si>
    <t>6.2 Spotřeba zemního plynu: Karlovarský a Královéhradecký kraj</t>
  </si>
  <si>
    <t>6.3 Spotřeba zemního plynu: Liberecký a Moravskoslezský kraj</t>
  </si>
  <si>
    <t>6.4 Spotřeba zemního plynu: Olomoucký a Pardubický kraj</t>
  </si>
  <si>
    <t>6.5 Spotřeba zemního plynu: Plzeňský kraj a Hlavní město Praha</t>
  </si>
  <si>
    <t>6.6 Spotřeba zemního plynu: Středočeský a Ústecký kraj</t>
  </si>
  <si>
    <t>6.7 Spotřeba zemního plynu: Kraj Vysočina a Zlínský kraj</t>
  </si>
  <si>
    <t>6.12 Spotřeba zemního plynu podle krajů v ČR v průběhu roku</t>
  </si>
  <si>
    <t>Podíl jednotlivých kategorií 
na celkovém počtu zákazníků</t>
  </si>
  <si>
    <t>Oddělení statistiky a sledování kvality</t>
  </si>
  <si>
    <t>spotřeba 
v LDS, která není 
v RDS</t>
  </si>
  <si>
    <t>Vydání</t>
  </si>
  <si>
    <t>Denní fyzické množství plynu pro pohon kompresních stanic a ostatní plyn,
který představuje neměřené hodnoty rozdílového množství celkové bilance PS</t>
  </si>
  <si>
    <t>Poznámka: Případnou kolidující hodnotu v objemových a energetických jednotkách "Bilanční rozdíl v přepravní soustavě" způsobuje odlišné spalné teplo na vstupech a výstupech plynárenské soustavy. Tato hodnota představuje neměřené hodnoty rozdílového množství celkové bilance přepravní soustavy.</t>
  </si>
  <si>
    <t>GS CZ</t>
  </si>
  <si>
    <t>plyn.statistika@eru.gov.cz</t>
  </si>
  <si>
    <t xml:space="preserve">Energetický regulační úřad (ERÚ) zveřejňuje čtvrtletní zprávu o provozu plynárenské soustavy ČR za dané čtvrtletí v souladu s § 17 odst. 7 písm. m) zákona č. 458/2000 Sb., o podmínkách podnikání a o výkonu státní správy v energetických odvětvích a o změně některých zákonů (energetický zákon), ve znění pozdějších předpisů. Údaje obsažené v této zprávě jsou určeny především pro státní orgány či instituce v rámci ČR nebo Evropské unie a odbornou veřejnost.
ERÚ v této zprávě uvádí všechna dostupná provozně technická data, která představují fyzické toky plynu. Údaje pro čtvrtletní zprávu jsou získávány na základě vyhlášky č. 404/2016 Sb., o náležitostech a členění výkazů nezbytných pro zpracování zpráv o provozu soustav v energetických odvětvích, včetně termínů, rozsahu a pravidel pro sestavování výkazů (statistická vyhláška), ve znění pozdějších předpisů, která nabyla účinnost dnem 1. ledna 2017. V rámci svých kompetencí, určených § 20a odst. 4 písm. e) energetického zákona, zpracovává operátor trhu své měsíční a roční statistiky o trhu s elektřinou a o trhu s plynem, které doplňují statistiky Energetického regulačního úřadu o obchodní údaje.
Veškerá data vycházejí z podkladů od licencovaných subjektů: výrobců plynu, provozovatelů distribučních soustav, přepravní soustavy a zásobníků plynu.
Čtvrtletní zpráva přináší informace o základních ukazatelích v plynárenství. Jednotlivé kapitoly obsahují statistická data o bilanci, výrobě a spotřebě plynu podle příslušných kategorií včetně spotřeby plynu na výrobu elektřiny. Zpráva dále obsahuje vyhodnocení přeshraničních toků plynu, uskladnění plynu a některá krajská vyhodnocení. Zjištěné a opravené chyby v obdržených datech a zpětné korekce výkazů jsou průběžně promítány do statistiky a projeví se vždy v dalších zveřejněných zprávách, případně v roční zprávě o provozu plynárenské soustavy ČR za rok 2024, kterou ERÚ předpokládá zveřejnit do konce května roku 2025.
</t>
  </si>
  <si>
    <t>* Prognóza spotřeby plynu do konce roku 2024 byla zpracována v prosinci 2023.</t>
  </si>
  <si>
    <t>MND GS</t>
  </si>
  <si>
    <t>Společnost MND Gas Storage a.s. (provozovatel zásobníku plynu)</t>
  </si>
  <si>
    <t>Společnost Gas Storage CZ, a.s. (provozovatel zásobníků plynu)</t>
  </si>
  <si>
    <r>
      <rPr>
        <b/>
        <sz val="24"/>
        <color rgb="FF1A3366"/>
        <rFont val="Arial"/>
        <family val="2"/>
        <charset val="238"/>
      </rPr>
      <t xml:space="preserve">ČTVRTLETNÍ ZPRÁVA O PROVOZU 
PLYNÁRENSKÉ SOUSTAVY
ČESKÉ REPUBLIKY
</t>
    </r>
    <r>
      <rPr>
        <b/>
        <sz val="24"/>
        <color theme="8"/>
        <rFont val="Arial"/>
        <family val="2"/>
        <charset val="238"/>
      </rPr>
      <t>ZA IV. ČTVRTLETÍ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</si>
</sst>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0.0%"/>
    <numFmt numFmtId="165" formatCode="#,##0.0"/>
    <numFmt numFmtId="166" formatCode="#,##0.000"/>
    <numFmt numFmtId="167" formatCode="0.0"/>
    <numFmt numFmtId="168" formatCode="\$#,##0\ ;\(\$#,##0\)"/>
    <numFmt numFmtId="169" formatCode="0.00%;[Red]\-0.00%"/>
    <numFmt numFmtId="170" formatCode="#,###,##0.00;[Red]\-#,###,##0.00"/>
    <numFmt numFmtId="171" formatCode="#,###,##0;[Red]\-#,###,##0"/>
    <numFmt numFmtId="172" formatCode="#,##0.0_);[Red]\(#,##0.0\)"/>
    <numFmt numFmtId="173" formatCode="&quot;$&quot;#,##0.00"/>
    <numFmt numFmtId="174" formatCode="_-* #,##0_-;\-* #,##0_-;_-* &quot;-&quot;_-;_-@_-"/>
    <numFmt numFmtId="175" formatCode="_-* #,##0.00_-;\-* #,##0.00_-;_-* &quot;-&quot;??_-;_-@_-"/>
    <numFmt numFmtId="176" formatCode="_-* #,##0\ _C_Z_K_-;\-* #,##0\ _C_Z_K_-;_-* &quot;-&quot;\ _C_Z_K_-;_-@_-"/>
    <numFmt numFmtId="177" formatCode="\$#,##0.00\ ;\(\$#,##0.00\)"/>
    <numFmt numFmtId="178" formatCode="_-* #,##0\ _F_-;\-* #,##0\ _F_-;_-* &quot;-&quot;\ _F_-;_-@_-"/>
    <numFmt numFmtId="179" formatCode="_-* #,##0.00\ _F_-;\-* #,##0.00\ _F_-;_-* &quot;-&quot;??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#,##0\ &quot;Kc&quot;;\-#,##0\ &quot;Kc&quot;"/>
    <numFmt numFmtId="183" formatCode="0.00_);[Red]\-0.00"/>
    <numFmt numFmtId="184" formatCode="mm\/yyyy"/>
    <numFmt numFmtId="185" formatCode="#,##0.000000"/>
  </numFmts>
  <fonts count="143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sz val="10"/>
      <name val="Arial"/>
      <family val="2"/>
      <charset val="238"/>
      <scheme val="minor"/>
    </font>
    <font>
      <sz val="11"/>
      <color rgb="FF006100"/>
      <name val="Arial"/>
      <family val="2"/>
      <charset val="238"/>
      <scheme val="minor"/>
    </font>
    <font>
      <sz val="11"/>
      <color rgb="FF9C650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sz val="12"/>
      <name val="System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sz val="11"/>
      <color theme="1"/>
      <name val="Arial"/>
      <family val="2"/>
      <charset val="238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0"/>
      <name val="Times New Roman"/>
      <family val="1"/>
      <charset val="238"/>
    </font>
    <font>
      <sz val="11"/>
      <color theme="1"/>
      <name val="Arial"/>
      <family val="2"/>
      <scheme val="minor"/>
    </font>
    <font>
      <sz val="12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sz val="10"/>
      <name val="Helv"/>
    </font>
    <font>
      <b/>
      <sz val="8"/>
      <color indexed="8"/>
      <name val="Helv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sz val="8"/>
      <color rgb="FF0000FF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sz val="11"/>
      <color rgb="FFFF0000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vertAlign val="superscript"/>
      <sz val="11"/>
      <name val="Arial"/>
      <family val="2"/>
      <charset val="238"/>
    </font>
    <font>
      <i/>
      <sz val="8"/>
      <name val="Arial"/>
      <family val="2"/>
      <charset val="238"/>
    </font>
    <font>
      <b/>
      <sz val="16"/>
      <color rgb="FF233060"/>
      <name val="Arial"/>
      <family val="2"/>
      <charset val="238"/>
    </font>
    <font>
      <b/>
      <sz val="10"/>
      <color rgb="FF233060"/>
      <name val="Arial"/>
      <family val="2"/>
      <charset val="238"/>
    </font>
    <font>
      <sz val="10"/>
      <color rgb="FF233060"/>
      <name val="Arial"/>
      <family val="2"/>
      <charset val="238"/>
    </font>
    <font>
      <b/>
      <sz val="11"/>
      <color rgb="FF233060"/>
      <name val="Arial"/>
      <family val="2"/>
      <charset val="238"/>
    </font>
    <font>
      <sz val="11"/>
      <color rgb="FF233060"/>
      <name val="Arial"/>
      <family val="2"/>
      <charset val="238"/>
    </font>
    <font>
      <b/>
      <sz val="8"/>
      <name val="Arial"/>
      <family val="2"/>
      <charset val="238"/>
    </font>
    <font>
      <sz val="8"/>
      <color theme="0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00B0F0"/>
      <name val="Arial"/>
      <family val="2"/>
      <charset val="238"/>
    </font>
    <font>
      <b/>
      <sz val="8"/>
      <color theme="9" tint="-0.249977111117893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i/>
      <sz val="8"/>
      <color theme="1"/>
      <name val="Arial"/>
      <family val="2"/>
      <charset val="238"/>
    </font>
    <font>
      <sz val="8"/>
      <color theme="8" tint="-0.249977111117893"/>
      <name val="Arial"/>
      <family val="2"/>
      <charset val="238"/>
    </font>
    <font>
      <sz val="14"/>
      <color rgb="FF233060"/>
      <name val="Arial"/>
      <family val="2"/>
      <charset val="238"/>
    </font>
    <font>
      <sz val="26"/>
      <name val="Arial"/>
      <family val="2"/>
      <charset val="238"/>
    </font>
    <font>
      <sz val="10"/>
      <color theme="8" tint="-0.249977111117893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00B0F0"/>
      <name val="Arial"/>
      <family val="2"/>
      <charset val="238"/>
    </font>
    <font>
      <sz val="10"/>
      <color theme="0"/>
      <name val="Arial"/>
      <family val="2"/>
      <charset val="238"/>
    </font>
    <font>
      <b/>
      <i/>
      <sz val="8"/>
      <color rgb="FF000099"/>
      <name val="Arial"/>
      <family val="2"/>
      <charset val="238"/>
    </font>
    <font>
      <sz val="8"/>
      <color rgb="FF233060"/>
      <name val="Arial"/>
      <family val="2"/>
      <charset val="238"/>
    </font>
    <font>
      <b/>
      <sz val="8"/>
      <color rgb="FF233060"/>
      <name val="Arial"/>
      <family val="2"/>
      <charset val="238"/>
    </font>
    <font>
      <b/>
      <vertAlign val="superscript"/>
      <sz val="10"/>
      <color rgb="FF233060"/>
      <name val="Arial"/>
      <family val="2"/>
      <charset val="238"/>
    </font>
    <font>
      <b/>
      <sz val="10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b/>
      <sz val="17"/>
      <color rgb="FF153366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b/>
      <vertAlign val="superscript"/>
      <sz val="8"/>
      <color rgb="FF233060"/>
      <name val="Arial"/>
      <family val="2"/>
      <charset val="238"/>
    </font>
    <font>
      <b/>
      <sz val="8"/>
      <color theme="1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14"/>
      <color rgb="FF233060"/>
      <name val="Arial"/>
      <family val="2"/>
      <charset val="238"/>
    </font>
    <font>
      <b/>
      <sz val="11"/>
      <color rgb="FFE53A2E"/>
      <name val="Arial"/>
      <family val="2"/>
      <charset val="238"/>
    </font>
    <font>
      <sz val="11"/>
      <color theme="3"/>
      <name val="Arial"/>
      <family val="2"/>
      <charset val="238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auto="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indexed="56"/>
      </patternFill>
    </fill>
    <fill>
      <patternFill patternType="solid">
        <fgColor indexed="49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40">
    <xf numFmtId="0" fontId="0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8" fillId="0" borderId="0"/>
    <xf numFmtId="9" fontId="9" fillId="0" borderId="0" applyFont="0" applyFill="0" applyBorder="0" applyAlignment="0" applyProtection="0"/>
    <xf numFmtId="4" fontId="12" fillId="3" borderId="3" applyNumberFormat="0" applyProtection="0">
      <alignment vertical="center"/>
    </xf>
    <xf numFmtId="4" fontId="12" fillId="4" borderId="3" applyNumberFormat="0" applyProtection="0">
      <alignment horizontal="left" vertical="center" indent="1"/>
    </xf>
    <xf numFmtId="4" fontId="12" fillId="5" borderId="0" applyNumberFormat="0" applyProtection="0">
      <alignment horizontal="left" vertical="center" indent="1"/>
    </xf>
    <xf numFmtId="4" fontId="13" fillId="6" borderId="3" applyNumberFormat="0" applyProtection="0">
      <alignment horizontal="right" vertical="center"/>
    </xf>
    <xf numFmtId="4" fontId="13" fillId="7" borderId="3" applyNumberFormat="0" applyProtection="0">
      <alignment horizontal="left" vertical="center" indent="1"/>
    </xf>
    <xf numFmtId="2" fontId="9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4" fontId="14" fillId="4" borderId="3" applyNumberFormat="0" applyProtection="0">
      <alignment vertical="center"/>
    </xf>
    <xf numFmtId="0" fontId="12" fillId="4" borderId="3" applyNumberFormat="0" applyProtection="0">
      <alignment horizontal="left" vertical="top" indent="1"/>
    </xf>
    <xf numFmtId="4" fontId="13" fillId="8" borderId="3" applyNumberFormat="0" applyProtection="0">
      <alignment horizontal="right" vertical="center"/>
    </xf>
    <xf numFmtId="4" fontId="13" fillId="9" borderId="3" applyNumberFormat="0" applyProtection="0">
      <alignment horizontal="right" vertical="center"/>
    </xf>
    <xf numFmtId="4" fontId="13" fillId="10" borderId="3" applyNumberFormat="0" applyProtection="0">
      <alignment horizontal="right" vertical="center"/>
    </xf>
    <xf numFmtId="4" fontId="13" fillId="11" borderId="3" applyNumberFormat="0" applyProtection="0">
      <alignment horizontal="right" vertical="center"/>
    </xf>
    <xf numFmtId="4" fontId="13" fillId="12" borderId="3" applyNumberFormat="0" applyProtection="0">
      <alignment horizontal="right" vertical="center"/>
    </xf>
    <xf numFmtId="4" fontId="13" fillId="13" borderId="3" applyNumberFormat="0" applyProtection="0">
      <alignment horizontal="right" vertical="center"/>
    </xf>
    <xf numFmtId="4" fontId="13" fillId="14" borderId="3" applyNumberFormat="0" applyProtection="0">
      <alignment horizontal="right" vertical="center"/>
    </xf>
    <xf numFmtId="4" fontId="13" fillId="15" borderId="3" applyNumberFormat="0" applyProtection="0">
      <alignment horizontal="right" vertical="center"/>
    </xf>
    <xf numFmtId="4" fontId="13" fillId="16" borderId="3" applyNumberFormat="0" applyProtection="0">
      <alignment horizontal="right" vertical="center"/>
    </xf>
    <xf numFmtId="4" fontId="12" fillId="0" borderId="0" applyNumberFormat="0" applyProtection="0">
      <alignment horizontal="left" vertical="center" indent="1"/>
    </xf>
    <xf numFmtId="4" fontId="13" fillId="6" borderId="0" applyNumberFormat="0" applyProtection="0">
      <alignment horizontal="left" vertical="center" indent="1"/>
    </xf>
    <xf numFmtId="4" fontId="15" fillId="17" borderId="0" applyNumberFormat="0" applyProtection="0">
      <alignment horizontal="left" vertical="center" indent="1"/>
    </xf>
    <xf numFmtId="4" fontId="13" fillId="7" borderId="3" applyNumberFormat="0" applyProtection="0">
      <alignment horizontal="right" vertical="center"/>
    </xf>
    <xf numFmtId="4" fontId="16" fillId="6" borderId="0" applyNumberFormat="0" applyProtection="0">
      <alignment horizontal="left" vertical="center" indent="1"/>
    </xf>
    <xf numFmtId="4" fontId="16" fillId="5" borderId="0" applyNumberFormat="0" applyProtection="0">
      <alignment horizontal="left" vertical="center" indent="1"/>
    </xf>
    <xf numFmtId="0" fontId="9" fillId="17" borderId="3" applyNumberFormat="0" applyProtection="0">
      <alignment horizontal="left" vertical="center" indent="1"/>
    </xf>
    <xf numFmtId="0" fontId="9" fillId="17" borderId="3" applyNumberFormat="0" applyProtection="0">
      <alignment horizontal="left" vertical="top" indent="1"/>
    </xf>
    <xf numFmtId="0" fontId="9" fillId="5" borderId="3" applyNumberFormat="0" applyProtection="0">
      <alignment horizontal="left" vertical="center" indent="1"/>
    </xf>
    <xf numFmtId="0" fontId="9" fillId="5" borderId="3" applyNumberFormat="0" applyProtection="0">
      <alignment horizontal="left" vertical="top" indent="1"/>
    </xf>
    <xf numFmtId="0" fontId="9" fillId="18" borderId="3" applyNumberFormat="0" applyProtection="0">
      <alignment horizontal="left" vertical="center" indent="1"/>
    </xf>
    <xf numFmtId="0" fontId="9" fillId="18" borderId="3" applyNumberFormat="0" applyProtection="0">
      <alignment horizontal="left" vertical="top" indent="1"/>
    </xf>
    <xf numFmtId="0" fontId="9" fillId="19" borderId="3" applyNumberFormat="0" applyProtection="0">
      <alignment horizontal="left" vertical="center" indent="1"/>
    </xf>
    <xf numFmtId="0" fontId="9" fillId="19" borderId="3" applyNumberFormat="0" applyProtection="0">
      <alignment horizontal="left" vertical="top" indent="1"/>
    </xf>
    <xf numFmtId="4" fontId="13" fillId="20" borderId="3" applyNumberFormat="0" applyProtection="0">
      <alignment vertical="center"/>
    </xf>
    <xf numFmtId="4" fontId="17" fillId="20" borderId="3" applyNumberFormat="0" applyProtection="0">
      <alignment vertical="center"/>
    </xf>
    <xf numFmtId="4" fontId="13" fillId="20" borderId="3" applyNumberFormat="0" applyProtection="0">
      <alignment horizontal="left" vertical="center" indent="1"/>
    </xf>
    <xf numFmtId="0" fontId="13" fillId="20" borderId="3" applyNumberFormat="0" applyProtection="0">
      <alignment horizontal="left" vertical="top" indent="1"/>
    </xf>
    <xf numFmtId="4" fontId="17" fillId="6" borderId="3" applyNumberFormat="0" applyProtection="0">
      <alignment horizontal="right" vertical="center"/>
    </xf>
    <xf numFmtId="0" fontId="13" fillId="5" borderId="3" applyNumberFormat="0" applyProtection="0">
      <alignment horizontal="left" vertical="top" indent="1"/>
    </xf>
    <xf numFmtId="4" fontId="18" fillId="0" borderId="0" applyNumberFormat="0" applyProtection="0">
      <alignment horizontal="left" vertical="center" indent="1"/>
    </xf>
    <xf numFmtId="4" fontId="19" fillId="6" borderId="3" applyNumberFormat="0" applyProtection="0">
      <alignment horizontal="right" vertical="center"/>
    </xf>
    <xf numFmtId="0" fontId="9" fillId="0" borderId="0"/>
    <xf numFmtId="0" fontId="20" fillId="21" borderId="4" applyNumberFormat="0" applyFont="0" applyFill="0" applyAlignment="0" applyProtection="0"/>
    <xf numFmtId="0" fontId="20" fillId="21" borderId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3" fontId="20" fillId="21" borderId="0" applyFont="0" applyFill="0" applyBorder="0" applyAlignment="0" applyProtection="0"/>
    <xf numFmtId="0" fontId="21" fillId="21" borderId="0" applyNumberFormat="0" applyFont="0" applyFill="0" applyBorder="0" applyAlignment="0" applyProtection="0"/>
    <xf numFmtId="0" fontId="21" fillId="21" borderId="0" applyNumberFormat="0" applyFont="0" applyFill="0" applyBorder="0" applyAlignment="0" applyProtection="0"/>
    <xf numFmtId="168" fontId="20" fillId="21" borderId="0" applyFon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2" fontId="20" fillId="21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21" borderId="0" applyNumberFormat="0" applyFill="0" applyBorder="0" applyAlignment="0" applyProtection="0"/>
    <xf numFmtId="0" fontId="23" fillId="21" borderId="0" applyNumberFormat="0" applyFill="0" applyBorder="0" applyAlignment="0" applyProtection="0"/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69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0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71" fontId="34" fillId="0" borderId="5">
      <alignment horizontal="right"/>
      <protection hidden="1"/>
    </xf>
    <xf numFmtId="1" fontId="34" fillId="0" borderId="0">
      <alignment horizontal="lef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" fontId="35" fillId="0" borderId="0"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69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71" fontId="35" fillId="0" borderId="5">
      <alignment horizontal="righ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" fontId="35" fillId="0" borderId="6">
      <alignment horizontal="left"/>
      <protection hidden="1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69" fontId="34" fillId="24" borderId="5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171" fontId="34" fillId="25" borderId="5" applyBorder="0">
      <alignment horizontal="right"/>
      <protection locked="0"/>
    </xf>
    <xf numFmtId="0" fontId="36" fillId="0" borderId="0"/>
    <xf numFmtId="0" fontId="37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8" fillId="0" borderId="0"/>
    <xf numFmtId="0" fontId="38" fillId="0" borderId="0"/>
    <xf numFmtId="0" fontId="39" fillId="26" borderId="0" applyNumberFormat="0" applyBorder="0" applyAlignment="0" applyProtection="0"/>
    <xf numFmtId="0" fontId="39" fillId="9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7" borderId="0" applyNumberFormat="0" applyBorder="0" applyAlignment="0" applyProtection="0"/>
    <xf numFmtId="0" fontId="39" fillId="29" borderId="0" applyNumberFormat="0" applyBorder="0" applyAlignment="0" applyProtection="0"/>
    <xf numFmtId="0" fontId="39" fillId="9" borderId="0" applyNumberFormat="0" applyBorder="0" applyAlignment="0" applyProtection="0"/>
    <xf numFmtId="0" fontId="39" fillId="3" borderId="0" applyNumberFormat="0" applyBorder="0" applyAlignment="0" applyProtection="0"/>
    <xf numFmtId="0" fontId="39" fillId="8" borderId="0" applyNumberFormat="0" applyBorder="0" applyAlignment="0" applyProtection="0"/>
    <xf numFmtId="0" fontId="39" fillId="29" borderId="0" applyNumberFormat="0" applyBorder="0" applyAlignment="0" applyProtection="0"/>
    <xf numFmtId="0" fontId="39" fillId="27" borderId="0" applyNumberFormat="0" applyBorder="0" applyAlignment="0" applyProtection="0"/>
    <xf numFmtId="0" fontId="40" fillId="29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29" borderId="0" applyNumberFormat="0" applyBorder="0" applyAlignment="0" applyProtection="0"/>
    <xf numFmtId="0" fontId="40" fillId="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2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42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2" fillId="38" borderId="0" applyNumberFormat="0" applyBorder="0" applyAlignment="0" applyProtection="0"/>
    <xf numFmtId="0" fontId="41" fillId="33" borderId="0" applyNumberFormat="0" applyBorder="0" applyAlignment="0" applyProtection="0"/>
    <xf numFmtId="0" fontId="41" fillId="39" borderId="0" applyNumberFormat="0" applyBorder="0" applyAlignment="0" applyProtection="0"/>
    <xf numFmtId="0" fontId="42" fillId="34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2" fillId="32" borderId="0" applyNumberFormat="0" applyBorder="0" applyAlignment="0" applyProtection="0"/>
    <xf numFmtId="0" fontId="41" fillId="25" borderId="0" applyNumberFormat="0" applyBorder="0" applyAlignment="0" applyProtection="0"/>
    <xf numFmtId="0" fontId="41" fillId="42" borderId="0" applyNumberFormat="0" applyBorder="0" applyAlignment="0" applyProtection="0"/>
    <xf numFmtId="0" fontId="42" fillId="43" borderId="0" applyNumberFormat="0" applyBorder="0" applyAlignment="0" applyProtection="0"/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3" fillId="19" borderId="7" applyNumberFormat="0" applyFont="0" applyFill="0" applyBorder="0" applyAlignment="0">
      <alignment vertical="center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0" fontId="44" fillId="0" borderId="0">
      <alignment horizontal="center" wrapText="1"/>
      <protection locked="0"/>
    </xf>
    <xf numFmtId="172" fontId="9" fillId="0" borderId="0" applyFill="0" applyBorder="0" applyAlignment="0"/>
    <xf numFmtId="172" fontId="9" fillId="0" borderId="0" applyFill="0" applyBorder="0" applyAlignment="0"/>
    <xf numFmtId="172" fontId="9" fillId="0" borderId="0" applyFill="0" applyBorder="0" applyAlignment="0"/>
    <xf numFmtId="172" fontId="9" fillId="0" borderId="0" applyFill="0" applyBorder="0" applyAlignment="0"/>
    <xf numFmtId="1" fontId="45" fillId="0" borderId="8" applyAlignment="0">
      <alignment horizontal="left" vertical="center"/>
    </xf>
    <xf numFmtId="173" fontId="46" fillId="4" borderId="9" applyNumberFormat="0" applyFont="0" applyFill="0" applyBorder="0" applyAlignment="0">
      <alignment horizontal="center"/>
    </xf>
    <xf numFmtId="173" fontId="46" fillId="4" borderId="9" applyNumberFormat="0" applyFont="0" applyFill="0" applyBorder="0" applyAlignment="0">
      <alignment horizontal="center"/>
    </xf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9" fillId="0" borderId="0" applyNumberForma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2" fillId="0" borderId="0" applyNumberFormat="0" applyAlignment="0"/>
    <xf numFmtId="0" fontId="53" fillId="0" borderId="0" applyNumberFormat="0" applyAlignment="0"/>
    <xf numFmtId="0" fontId="52" fillId="0" borderId="0" applyNumberFormat="0" applyAlignment="0"/>
    <xf numFmtId="0" fontId="53" fillId="0" borderId="0" applyNumberFormat="0" applyAlignment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" fontId="48" fillId="0" borderId="0" applyFill="0" applyBorder="0" applyAlignment="0" applyProtection="0"/>
    <xf numFmtId="4" fontId="48" fillId="0" borderId="0" applyFill="0" applyBorder="0" applyAlignment="0" applyProtection="0"/>
    <xf numFmtId="4" fontId="48" fillId="0" borderId="0" applyFill="0" applyBorder="0" applyAlignment="0" applyProtection="0"/>
    <xf numFmtId="0" fontId="54" fillId="0" borderId="0">
      <alignment horizontal="center" vertical="center"/>
    </xf>
    <xf numFmtId="0" fontId="54" fillId="44" borderId="0">
      <alignment horizontal="center" vertical="center"/>
    </xf>
    <xf numFmtId="0" fontId="54" fillId="45" borderId="0">
      <alignment horizontal="center" vertical="center"/>
    </xf>
    <xf numFmtId="0" fontId="54" fillId="46" borderId="0">
      <alignment horizontal="center" vertical="center"/>
    </xf>
    <xf numFmtId="15" fontId="38" fillId="0" borderId="0"/>
    <xf numFmtId="15" fontId="38" fillId="0" borderId="0"/>
    <xf numFmtId="15" fontId="38" fillId="0" borderId="0"/>
    <xf numFmtId="15" fontId="38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6" fillId="0" borderId="0" applyNumberFormat="0" applyAlignment="0">
      <alignment horizontal="left"/>
    </xf>
    <xf numFmtId="0" fontId="57" fillId="0" borderId="0" applyNumberFormat="0" applyAlignment="0">
      <alignment horizontal="left"/>
    </xf>
    <xf numFmtId="0" fontId="56" fillId="0" borderId="0" applyNumberFormat="0" applyAlignment="0">
      <alignment horizontal="left"/>
    </xf>
    <xf numFmtId="0" fontId="56" fillId="0" borderId="0" applyNumberFormat="0" applyAlignment="0">
      <alignment horizontal="left"/>
    </xf>
    <xf numFmtId="38" fontId="58" fillId="50" borderId="0" applyNumberFormat="0" applyBorder="0" applyAlignment="0" applyProtection="0"/>
    <xf numFmtId="0" fontId="59" fillId="0" borderId="12" applyNumberFormat="0" applyAlignment="0" applyProtection="0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59" fillId="0" borderId="2">
      <alignment horizontal="left" vertical="center"/>
    </xf>
    <xf numFmtId="0" fontId="60" fillId="51" borderId="0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0" fontId="58" fillId="20" borderId="1" applyNumberFormat="0" applyBorder="0" applyAlignment="0" applyProtection="0"/>
    <xf numFmtId="176" fontId="9" fillId="52" borderId="0"/>
    <xf numFmtId="176" fontId="9" fillId="52" borderId="0"/>
    <xf numFmtId="176" fontId="9" fillId="52" borderId="0"/>
    <xf numFmtId="176" fontId="9" fillId="52" borderId="0"/>
    <xf numFmtId="0" fontId="61" fillId="53" borderId="13" applyNumberFormat="0" applyAlignment="0" applyProtection="0"/>
    <xf numFmtId="176" fontId="9" fillId="54" borderId="0"/>
    <xf numFmtId="176" fontId="9" fillId="54" borderId="0"/>
    <xf numFmtId="176" fontId="9" fillId="54" borderId="0"/>
    <xf numFmtId="176" fontId="9" fillId="54" borderId="0"/>
    <xf numFmtId="177" fontId="48" fillId="0" borderId="0" applyFill="0" applyBorder="0" applyAlignment="0" applyProtection="0"/>
    <xf numFmtId="177" fontId="48" fillId="0" borderId="0" applyFill="0" applyBorder="0" applyAlignment="0" applyProtection="0"/>
    <xf numFmtId="177" fontId="48" fillId="0" borderId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3" borderId="0" applyNumberFormat="0" applyBorder="0" applyAlignment="0" applyProtection="0"/>
    <xf numFmtId="0" fontId="26" fillId="23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182" fontId="9" fillId="0" borderId="0"/>
    <xf numFmtId="182" fontId="9" fillId="0" borderId="0"/>
    <xf numFmtId="182" fontId="9" fillId="0" borderId="0"/>
    <xf numFmtId="182" fontId="9" fillId="0" borderId="0"/>
    <xf numFmtId="0" fontId="9" fillId="0" borderId="0" applyNumberFormat="0" applyFill="0" applyBorder="0" applyAlignment="0" applyProtection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2" fillId="0" borderId="0"/>
    <xf numFmtId="0" fontId="36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175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4" fontId="44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" fontId="48" fillId="0" borderId="0" applyFill="0" applyBorder="0" applyAlignment="0" applyProtection="0"/>
    <xf numFmtId="2" fontId="48" fillId="0" borderId="0" applyFill="0" applyBorder="0" applyAlignment="0" applyProtection="0"/>
    <xf numFmtId="2" fontId="48" fillId="0" borderId="0" applyFill="0" applyBorder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9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27" borderId="17" applyNumberFormat="0" applyFont="0" applyAlignment="0" applyProtection="0"/>
    <xf numFmtId="0" fontId="36" fillId="0" borderId="0"/>
    <xf numFmtId="0" fontId="3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3" fillId="0" borderId="18" applyNumberFormat="0" applyFill="0" applyAlignment="0" applyProtection="0"/>
    <xf numFmtId="0" fontId="38" fillId="0" borderId="0" applyNumberFormat="0" applyFont="0" applyFill="0" applyBorder="0" applyAlignment="0" applyProtection="0">
      <alignment horizontal="left"/>
    </xf>
    <xf numFmtId="0" fontId="38" fillId="0" borderId="0" applyNumberFormat="0" applyFont="0" applyFill="0" applyBorder="0" applyAlignment="0" applyProtection="0">
      <alignment horizontal="left"/>
    </xf>
    <xf numFmtId="0" fontId="38" fillId="0" borderId="0" applyNumberFormat="0" applyFon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183" fontId="9" fillId="0" borderId="0" applyNumberFormat="0" applyFill="0" applyBorder="0" applyAlignment="0" applyProtection="0">
      <alignment horizontal="left"/>
    </xf>
    <xf numFmtId="0" fontId="49" fillId="0" borderId="0" applyNumberFormat="0" applyFill="0" applyBorder="0" applyAlignment="0" applyProtection="0"/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0" fontId="9" fillId="0" borderId="0"/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13" fillId="4" borderId="19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0" fontId="9" fillId="0" borderId="0"/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74" fillId="4" borderId="20" applyNumberFormat="0" applyProtection="0">
      <alignment vertical="center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0" fontId="9" fillId="0" borderId="0"/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4" fontId="13" fillId="4" borderId="19" applyNumberFormat="0" applyProtection="0">
      <alignment horizontal="left" vertical="center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9" fillId="0" borderId="0"/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0" fontId="75" fillId="3" borderId="3" applyNumberFormat="0" applyProtection="0">
      <alignment horizontal="left" vertical="top" indent="1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0" fontId="9" fillId="0" borderId="0"/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8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0" fontId="9" fillId="0" borderId="0"/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54" borderId="20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0" fontId="9" fillId="0" borderId="0"/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0" borderId="21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0" fontId="9" fillId="0" borderId="0"/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1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0" fontId="9" fillId="0" borderId="0"/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2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0" fontId="9" fillId="0" borderId="0"/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3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0" fontId="9" fillId="0" borderId="0"/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4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0" fontId="9" fillId="0" borderId="0"/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5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0" fontId="9" fillId="0" borderId="0"/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16" borderId="20" applyNumberFormat="0" applyProtection="0">
      <alignment horizontal="right" vertical="center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0" fontId="9" fillId="0" borderId="0"/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58" fillId="55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0" fontId="9" fillId="0" borderId="0"/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0" fontId="9" fillId="0" borderId="0"/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76" fillId="56" borderId="21" applyNumberFormat="0" applyProtection="0">
      <alignment horizontal="left" vertical="center" indent="1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0" fontId="9" fillId="0" borderId="0"/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7" borderId="20" applyNumberFormat="0" applyProtection="0">
      <alignment horizontal="right" vertical="center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0" fontId="9" fillId="0" borderId="0"/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6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0" fontId="9" fillId="0" borderId="0"/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4" fontId="58" fillId="7" borderId="21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9" fillId="58" borderId="19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9" fillId="0" borderId="0"/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7" borderId="20" applyNumberFormat="0" applyProtection="0">
      <alignment horizontal="left" vertical="center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9" fillId="0" borderId="0"/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6" borderId="3" applyNumberFormat="0" applyProtection="0">
      <alignment horizontal="left" vertical="top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9" fillId="60" borderId="19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9" fillId="0" borderId="0"/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59" borderId="20" applyNumberFormat="0" applyProtection="0">
      <alignment horizontal="left" vertical="center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9" fillId="0" borderId="0"/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7" borderId="3" applyNumberFormat="0" applyProtection="0">
      <alignment horizontal="left" vertical="top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9" fillId="0" borderId="0"/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20" applyNumberFormat="0" applyProtection="0">
      <alignment horizontal="left" vertical="center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9" fillId="0" borderId="0"/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26" borderId="3" applyNumberFormat="0" applyProtection="0">
      <alignment horizontal="left" vertical="top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9" fillId="0" borderId="0"/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20" applyNumberFormat="0" applyProtection="0">
      <alignment horizontal="left" vertical="center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9" fillId="0" borderId="0"/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58" fillId="6" borderId="3" applyNumberFormat="0" applyProtection="0">
      <alignment horizontal="left" vertical="top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0" borderId="0"/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58" fillId="62" borderId="22" applyNumberFormat="0">
      <protection locked="0"/>
    </xf>
    <xf numFmtId="0" fontId="9" fillId="0" borderId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0" fontId="77" fillId="56" borderId="23" applyBorder="0"/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0" fontId="9" fillId="0" borderId="0"/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8" fillId="27" borderId="3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4" fontId="74" fillId="20" borderId="5" applyNumberFormat="0" applyProtection="0">
      <alignment vertical="center"/>
    </xf>
    <xf numFmtId="0" fontId="9" fillId="0" borderId="0"/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0" fontId="9" fillId="0" borderId="0"/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4" fontId="78" fillId="57" borderId="3" applyNumberFormat="0" applyProtection="0">
      <alignment horizontal="left" vertical="center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9" fillId="0" borderId="0"/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0" fontId="78" fillId="27" borderId="3" applyNumberFormat="0" applyProtection="0">
      <alignment horizontal="left" vertical="top" indent="1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0" fontId="9" fillId="0" borderId="0"/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58" fillId="0" borderId="20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3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0" fontId="9" fillId="0" borderId="0"/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4" fontId="17" fillId="63" borderId="19" applyNumberFormat="0" applyProtection="0">
      <alignment horizontal="right" vertical="center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45" fillId="0" borderId="0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45" fillId="0" borderId="0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0" borderId="0"/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9" fillId="61" borderId="19" applyNumberFormat="0" applyProtection="0">
      <alignment horizontal="left" vertical="center" indent="1"/>
    </xf>
    <xf numFmtId="0" fontId="79" fillId="0" borderId="0"/>
    <xf numFmtId="0" fontId="9" fillId="0" borderId="0"/>
    <xf numFmtId="0" fontId="79" fillId="0" borderId="0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0" fontId="58" fillId="64" borderId="1"/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0" fontId="9" fillId="0" borderId="0"/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4" fontId="80" fillId="62" borderId="20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2" fillId="29" borderId="0" applyNumberFormat="0" applyBorder="0" applyAlignment="0" applyProtection="0"/>
    <xf numFmtId="0" fontId="25" fillId="22" borderId="0" applyNumberFormat="0" applyBorder="0" applyAlignment="0" applyProtection="0"/>
    <xf numFmtId="0" fontId="83" fillId="0" borderId="0"/>
    <xf numFmtId="40" fontId="84" fillId="0" borderId="0" applyBorder="0">
      <alignment horizontal="right"/>
    </xf>
    <xf numFmtId="0" fontId="73" fillId="0" borderId="0" applyNumberFormat="0" applyFill="0" applyBorder="0" applyAlignment="0" applyProtection="0"/>
    <xf numFmtId="0" fontId="85" fillId="3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5" fillId="28" borderId="24" applyNumberFormat="0" applyAlignment="0" applyProtection="0"/>
    <xf numFmtId="0" fontId="86" fillId="62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7" fillId="57" borderId="24" applyNumberFormat="0" applyAlignment="0" applyProtection="0"/>
    <xf numFmtId="0" fontId="88" fillId="62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8" fillId="57" borderId="19" applyNumberFormat="0" applyAlignment="0" applyProtection="0"/>
    <xf numFmtId="0" fontId="89" fillId="0" borderId="0" applyNumberFormat="0" applyFill="0" applyBorder="0" applyAlignment="0" applyProtection="0"/>
    <xf numFmtId="0" fontId="40" fillId="65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0" fontId="40" fillId="56" borderId="0" applyNumberFormat="0" applyBorder="0" applyAlignment="0" applyProtection="0"/>
    <xf numFmtId="0" fontId="40" fillId="66" borderId="0" applyNumberFormat="0" applyBorder="0" applyAlignment="0" applyProtection="0"/>
    <xf numFmtId="0" fontId="40" fillId="10" borderId="0" applyNumberFormat="0" applyBorder="0" applyAlignment="0" applyProtection="0"/>
    <xf numFmtId="0" fontId="9" fillId="0" borderId="0"/>
    <xf numFmtId="0" fontId="3" fillId="0" borderId="0"/>
    <xf numFmtId="0" fontId="2" fillId="0" borderId="0"/>
    <xf numFmtId="0" fontId="1" fillId="0" borderId="0"/>
    <xf numFmtId="0" fontId="9" fillId="0" borderId="0"/>
  </cellStyleXfs>
  <cellXfs count="527">
    <xf numFmtId="0" fontId="0" fillId="0" borderId="0" xfId="0"/>
    <xf numFmtId="0" fontId="92" fillId="0" borderId="0" xfId="2" applyFont="1" applyFill="1" applyBorder="1" applyAlignment="1">
      <alignment horizontal="left"/>
    </xf>
    <xf numFmtId="0" fontId="94" fillId="0" borderId="0" xfId="2" applyFont="1" applyFill="1"/>
    <xf numFmtId="0" fontId="95" fillId="0" borderId="0" xfId="2" applyFont="1" applyFill="1" applyAlignment="1"/>
    <xf numFmtId="0" fontId="45" fillId="0" borderId="0" xfId="2" applyFont="1" applyFill="1"/>
    <xf numFmtId="0" fontId="96" fillId="0" borderId="0" xfId="2" applyFont="1" applyFill="1" applyBorder="1" applyAlignment="1">
      <alignment horizontal="left"/>
    </xf>
    <xf numFmtId="0" fontId="45" fillId="0" borderId="0" xfId="2" applyFont="1" applyFill="1" applyAlignment="1"/>
    <xf numFmtId="0" fontId="45" fillId="0" borderId="0" xfId="2" applyFont="1" applyFill="1" applyAlignment="1">
      <alignment horizontal="left" vertical="top" wrapText="1"/>
    </xf>
    <xf numFmtId="0" fontId="45" fillId="0" borderId="0" xfId="2" applyFont="1" applyFill="1" applyAlignment="1">
      <alignment horizontal="center" vertical="top" wrapText="1"/>
    </xf>
    <xf numFmtId="0" fontId="45" fillId="0" borderId="0" xfId="2" applyFont="1" applyFill="1" applyAlignment="1">
      <alignment vertical="top"/>
    </xf>
    <xf numFmtId="0" fontId="45" fillId="0" borderId="0" xfId="2" applyFont="1" applyFill="1" applyBorder="1" applyAlignment="1">
      <alignment horizontal="center" vertical="top" wrapText="1"/>
    </xf>
    <xf numFmtId="0" fontId="11" fillId="0" borderId="0" xfId="2" applyFont="1" applyFill="1" applyAlignment="1">
      <alignment vertical="top" wrapText="1"/>
    </xf>
    <xf numFmtId="0" fontId="45" fillId="0" borderId="0" xfId="2" applyFont="1" applyFill="1" applyBorder="1"/>
    <xf numFmtId="0" fontId="91" fillId="0" borderId="0" xfId="2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horizontal="justify" vertical="top" wrapText="1"/>
    </xf>
    <xf numFmtId="0" fontId="91" fillId="0" borderId="0" xfId="2" applyFont="1" applyFill="1" applyBorder="1" applyAlignment="1">
      <alignment horizontal="left" vertical="top"/>
    </xf>
    <xf numFmtId="0" fontId="92" fillId="0" borderId="0" xfId="2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vertical="top"/>
    </xf>
    <xf numFmtId="0" fontId="92" fillId="0" borderId="0" xfId="527" applyFont="1" applyFill="1" applyBorder="1" applyAlignment="1">
      <alignment horizontal="left" vertical="top" wrapText="1"/>
    </xf>
    <xf numFmtId="0" fontId="92" fillId="0" borderId="0" xfId="2" applyFont="1" applyFill="1" applyBorder="1" applyAlignment="1">
      <alignment vertical="top" wrapText="1"/>
    </xf>
    <xf numFmtId="0" fontId="92" fillId="0" borderId="0" xfId="527" applyFont="1" applyFill="1" applyBorder="1" applyAlignment="1">
      <alignment vertical="top" wrapText="1"/>
    </xf>
    <xf numFmtId="0" fontId="98" fillId="0" borderId="0" xfId="2" applyFont="1" applyFill="1" applyBorder="1" applyAlignment="1">
      <alignment horizontal="right"/>
    </xf>
    <xf numFmtId="0" fontId="92" fillId="0" borderId="0" xfId="2" applyFont="1" applyFill="1" applyBorder="1"/>
    <xf numFmtId="0" fontId="92" fillId="0" borderId="0" xfId="2" applyFont="1" applyFill="1" applyBorder="1" applyAlignment="1">
      <alignment horizontal="left" vertical="top"/>
    </xf>
    <xf numFmtId="0" fontId="98" fillId="0" borderId="0" xfId="2" applyFont="1" applyFill="1" applyBorder="1"/>
    <xf numFmtId="0" fontId="99" fillId="0" borderId="0" xfId="2" applyFont="1" applyFill="1"/>
    <xf numFmtId="0" fontId="100" fillId="0" borderId="0" xfId="2" applyFont="1" applyFill="1" applyAlignment="1"/>
    <xf numFmtId="0" fontId="101" fillId="0" borderId="0" xfId="2" applyFont="1" applyFill="1" applyBorder="1" applyAlignment="1"/>
    <xf numFmtId="0" fontId="99" fillId="0" borderId="0" xfId="2" applyFont="1" applyFill="1" applyAlignment="1"/>
    <xf numFmtId="0" fontId="54" fillId="2" borderId="0" xfId="2" applyFont="1" applyFill="1" applyAlignment="1">
      <alignment vertical="top" wrapText="1"/>
    </xf>
    <xf numFmtId="0" fontId="99" fillId="0" borderId="0" xfId="2" applyFont="1" applyFill="1" applyAlignment="1">
      <alignment vertical="top" wrapText="1"/>
    </xf>
    <xf numFmtId="3" fontId="92" fillId="0" borderId="0" xfId="2" applyNumberFormat="1" applyFont="1" applyFill="1"/>
    <xf numFmtId="0" fontId="92" fillId="0" borderId="0" xfId="2" applyFont="1" applyFill="1"/>
    <xf numFmtId="0" fontId="54" fillId="2" borderId="0" xfId="2" applyFont="1" applyFill="1" applyAlignment="1">
      <alignment horizontal="right" vertical="top" wrapText="1"/>
    </xf>
    <xf numFmtId="0" fontId="99" fillId="0" borderId="0" xfId="2" applyFont="1" applyFill="1" applyAlignment="1">
      <alignment horizontal="right" vertical="top" wrapText="1"/>
    </xf>
    <xf numFmtId="3" fontId="99" fillId="0" borderId="0" xfId="2" applyNumberFormat="1" applyFont="1" applyFill="1"/>
    <xf numFmtId="167" fontId="92" fillId="0" borderId="0" xfId="1" applyNumberFormat="1" applyFont="1" applyFill="1"/>
    <xf numFmtId="0" fontId="92" fillId="0" borderId="0" xfId="0" applyFont="1" applyAlignment="1">
      <alignment horizontal="right"/>
    </xf>
    <xf numFmtId="165" fontId="92" fillId="0" borderId="0" xfId="2" applyNumberFormat="1" applyFont="1" applyFill="1"/>
    <xf numFmtId="0" fontId="45" fillId="0" borderId="0" xfId="0" applyFont="1" applyFill="1"/>
    <xf numFmtId="0" fontId="45" fillId="0" borderId="0" xfId="0" applyFont="1" applyFill="1" applyAlignment="1"/>
    <xf numFmtId="3" fontId="45" fillId="0" borderId="0" xfId="0" applyNumberFormat="1" applyFont="1" applyFill="1" applyBorder="1"/>
    <xf numFmtId="2" fontId="45" fillId="0" borderId="0" xfId="0" applyNumberFormat="1" applyFont="1" applyFill="1"/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/>
    <xf numFmtId="0" fontId="104" fillId="0" borderId="0" xfId="2" applyFont="1" applyFill="1"/>
    <xf numFmtId="0" fontId="105" fillId="0" borderId="0" xfId="2" applyFont="1" applyFill="1" applyBorder="1" applyAlignment="1">
      <alignment horizontal="right"/>
    </xf>
    <xf numFmtId="0" fontId="106" fillId="0" borderId="0" xfId="2" applyFont="1" applyFill="1" applyBorder="1"/>
    <xf numFmtId="0" fontId="107" fillId="0" borderId="0" xfId="2" applyFont="1" applyFill="1" applyBorder="1" applyAlignment="1">
      <alignment horizontal="right"/>
    </xf>
    <xf numFmtId="0" fontId="105" fillId="0" borderId="0" xfId="2" applyFont="1" applyFill="1" applyBorder="1" applyAlignment="1">
      <alignment horizontal="left"/>
    </xf>
    <xf numFmtId="0" fontId="106" fillId="0" borderId="0" xfId="2" applyFont="1" applyFill="1" applyBorder="1" applyAlignment="1">
      <alignment horizontal="left"/>
    </xf>
    <xf numFmtId="1" fontId="106" fillId="0" borderId="0" xfId="2" applyNumberFormat="1" applyFont="1" applyFill="1" applyBorder="1" applyAlignment="1">
      <alignment horizontal="left"/>
    </xf>
    <xf numFmtId="0" fontId="106" fillId="0" borderId="0" xfId="2" applyNumberFormat="1" applyFont="1" applyFill="1" applyBorder="1" applyAlignment="1">
      <alignment horizontal="left"/>
    </xf>
    <xf numFmtId="0" fontId="106" fillId="0" borderId="0" xfId="2" applyFont="1" applyFill="1" applyBorder="1" applyAlignment="1">
      <alignment horizontal="right"/>
    </xf>
    <xf numFmtId="0" fontId="104" fillId="0" borderId="0" xfId="2" applyFont="1" applyFill="1" applyBorder="1" applyAlignment="1">
      <alignment horizontal="left"/>
    </xf>
    <xf numFmtId="0" fontId="104" fillId="0" borderId="0" xfId="0" applyFont="1" applyFill="1"/>
    <xf numFmtId="3" fontId="45" fillId="0" borderId="0" xfId="2" applyNumberFormat="1" applyFont="1" applyFill="1" applyBorder="1" applyAlignment="1">
      <alignment horizontal="right"/>
    </xf>
    <xf numFmtId="3" fontId="45" fillId="0" borderId="0" xfId="2" applyNumberFormat="1" applyFont="1" applyFill="1" applyBorder="1"/>
    <xf numFmtId="165" fontId="45" fillId="0" borderId="0" xfId="2" applyNumberFormat="1" applyFont="1" applyFill="1" applyBorder="1" applyAlignment="1">
      <alignment horizontal="right"/>
    </xf>
    <xf numFmtId="166" fontId="45" fillId="0" borderId="0" xfId="2" applyNumberFormat="1" applyFont="1" applyFill="1" applyBorder="1" applyAlignment="1">
      <alignment horizontal="right"/>
    </xf>
    <xf numFmtId="0" fontId="45" fillId="0" borderId="0" xfId="2" applyFont="1" applyFill="1" applyBorder="1" applyAlignment="1">
      <alignment wrapText="1"/>
    </xf>
    <xf numFmtId="0" fontId="110" fillId="0" borderId="0" xfId="2" applyFont="1" applyFill="1" applyBorder="1"/>
    <xf numFmtId="165" fontId="110" fillId="0" borderId="0" xfId="2" applyNumberFormat="1" applyFont="1" applyFill="1" applyBorder="1"/>
    <xf numFmtId="165" fontId="45" fillId="0" borderId="0" xfId="2" applyNumberFormat="1" applyFont="1" applyFill="1" applyBorder="1"/>
    <xf numFmtId="0" fontId="11" fillId="0" borderId="0" xfId="2" applyFont="1" applyFill="1" applyBorder="1" applyAlignment="1"/>
    <xf numFmtId="4" fontId="45" fillId="0" borderId="0" xfId="2" applyNumberFormat="1" applyFont="1" applyFill="1" applyBorder="1"/>
    <xf numFmtId="3" fontId="116" fillId="0" borderId="0" xfId="2" applyNumberFormat="1" applyFont="1" applyFill="1" applyBorder="1"/>
    <xf numFmtId="0" fontId="118" fillId="0" borderId="0" xfId="2" applyFont="1" applyFill="1" applyBorder="1" applyAlignment="1">
      <alignment wrapText="1"/>
    </xf>
    <xf numFmtId="164" fontId="45" fillId="0" borderId="0" xfId="1" applyNumberFormat="1" applyFont="1" applyFill="1" applyBorder="1"/>
    <xf numFmtId="0" fontId="104" fillId="0" borderId="0" xfId="2" applyFont="1" applyFill="1" applyBorder="1"/>
    <xf numFmtId="1" fontId="110" fillId="0" borderId="0" xfId="2" applyNumberFormat="1" applyFont="1" applyFill="1" applyBorder="1" applyAlignment="1">
      <alignment horizontal="right" wrapText="1"/>
    </xf>
    <xf numFmtId="0" fontId="110" fillId="0" borderId="0" xfId="2" applyFont="1" applyFill="1" applyBorder="1" applyAlignment="1">
      <alignment wrapText="1"/>
    </xf>
    <xf numFmtId="0" fontId="110" fillId="0" borderId="0" xfId="2" applyFont="1" applyFill="1" applyBorder="1" applyAlignment="1">
      <alignment horizontal="right"/>
    </xf>
    <xf numFmtId="0" fontId="110" fillId="0" borderId="0" xfId="2" applyFont="1" applyFill="1" applyBorder="1" applyAlignment="1">
      <alignment horizontal="right" wrapText="1"/>
    </xf>
    <xf numFmtId="3" fontId="110" fillId="0" borderId="0" xfId="2" applyNumberFormat="1" applyFont="1" applyFill="1" applyBorder="1" applyAlignment="1">
      <alignment horizontal="right"/>
    </xf>
    <xf numFmtId="165" fontId="110" fillId="0" borderId="0" xfId="2" applyNumberFormat="1" applyFont="1" applyFill="1" applyBorder="1" applyAlignment="1">
      <alignment horizontal="right"/>
    </xf>
    <xf numFmtId="0" fontId="9" fillId="0" borderId="0" xfId="0" applyFont="1" applyFill="1" applyBorder="1"/>
    <xf numFmtId="3" fontId="9" fillId="0" borderId="0" xfId="0" applyNumberFormat="1" applyFont="1" applyFill="1" applyBorder="1"/>
    <xf numFmtId="3" fontId="45" fillId="0" borderId="0" xfId="0" applyNumberFormat="1" applyFont="1" applyFill="1" applyBorder="1" applyAlignment="1">
      <alignment vertical="center"/>
    </xf>
    <xf numFmtId="0" fontId="121" fillId="0" borderId="0" xfId="0" applyFont="1" applyFill="1" applyBorder="1"/>
    <xf numFmtId="3" fontId="118" fillId="0" borderId="0" xfId="0" applyNumberFormat="1" applyFont="1" applyFill="1" applyBorder="1" applyAlignment="1">
      <alignment horizontal="right"/>
    </xf>
    <xf numFmtId="3" fontId="118" fillId="0" borderId="0" xfId="0" applyNumberFormat="1" applyFont="1" applyFill="1" applyBorder="1"/>
    <xf numFmtId="0" fontId="118" fillId="0" borderId="0" xfId="0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0" fontId="122" fillId="0" borderId="0" xfId="0" applyFont="1" applyFill="1"/>
    <xf numFmtId="0" fontId="123" fillId="0" borderId="0" xfId="0" applyFont="1" applyFill="1"/>
    <xf numFmtId="0" fontId="45" fillId="0" borderId="0" xfId="0" applyFont="1" applyFill="1" applyBorder="1" applyAlignment="1">
      <alignment horizontal="left" vertical="center"/>
    </xf>
    <xf numFmtId="3" fontId="45" fillId="0" borderId="0" xfId="0" applyNumberFormat="1" applyFont="1" applyFill="1" applyBorder="1" applyAlignment="1">
      <alignment horizontal="right" vertical="center"/>
    </xf>
    <xf numFmtId="165" fontId="9" fillId="0" borderId="0" xfId="0" applyNumberFormat="1" applyFont="1" applyFill="1"/>
    <xf numFmtId="3" fontId="122" fillId="0" borderId="0" xfId="0" applyNumberFormat="1" applyFont="1" applyFill="1"/>
    <xf numFmtId="1" fontId="122" fillId="0" borderId="0" xfId="0" applyNumberFormat="1" applyFont="1" applyFill="1"/>
    <xf numFmtId="3" fontId="116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/>
    <xf numFmtId="0" fontId="45" fillId="0" borderId="0" xfId="0" applyFont="1" applyFill="1" applyBorder="1" applyAlignment="1">
      <alignment vertical="center"/>
    </xf>
    <xf numFmtId="164" fontId="45" fillId="0" borderId="0" xfId="1" applyNumberFormat="1" applyFont="1" applyFill="1" applyBorder="1" applyAlignment="1">
      <alignment vertical="center"/>
    </xf>
    <xf numFmtId="164" fontId="45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/>
    <xf numFmtId="0" fontId="45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right" vertical="center"/>
    </xf>
    <xf numFmtId="0" fontId="123" fillId="0" borderId="0" xfId="0" applyFont="1" applyFill="1" applyBorder="1" applyAlignment="1">
      <alignment horizontal="left"/>
    </xf>
    <xf numFmtId="9" fontId="9" fillId="0" borderId="0" xfId="1" applyFont="1" applyFill="1" applyBorder="1"/>
    <xf numFmtId="0" fontId="9" fillId="0" borderId="0" xfId="0" applyFont="1" applyFill="1" applyAlignment="1">
      <alignment horizontal="left"/>
    </xf>
    <xf numFmtId="164" fontId="9" fillId="0" borderId="0" xfId="0" applyNumberFormat="1" applyFont="1" applyFill="1"/>
    <xf numFmtId="0" fontId="111" fillId="0" borderId="0" xfId="57" applyFont="1" applyFill="1"/>
    <xf numFmtId="0" fontId="9" fillId="0" borderId="0" xfId="2" applyFont="1" applyFill="1"/>
    <xf numFmtId="0" fontId="125" fillId="0" borderId="0" xfId="2" applyFont="1" applyFill="1" applyAlignment="1">
      <alignment horizontal="right"/>
    </xf>
    <xf numFmtId="167" fontId="110" fillId="0" borderId="0" xfId="2" applyNumberFormat="1" applyFont="1" applyFill="1" applyBorder="1" applyAlignment="1">
      <alignment horizontal="right"/>
    </xf>
    <xf numFmtId="167" fontId="45" fillId="0" borderId="0" xfId="2" applyNumberFormat="1" applyFont="1" applyFill="1" applyBorder="1" applyAlignment="1">
      <alignment horizontal="right"/>
    </xf>
    <xf numFmtId="3" fontId="124" fillId="0" borderId="0" xfId="2" applyNumberFormat="1" applyFont="1" applyFill="1" applyBorder="1"/>
    <xf numFmtId="0" fontId="9" fillId="0" borderId="0" xfId="2" applyFont="1" applyFill="1" applyBorder="1" applyAlignment="1"/>
    <xf numFmtId="0" fontId="9" fillId="0" borderId="0" xfId="2" applyFont="1" applyFill="1" applyBorder="1"/>
    <xf numFmtId="3" fontId="9" fillId="0" borderId="0" xfId="2" applyNumberFormat="1" applyFont="1" applyFill="1" applyBorder="1"/>
    <xf numFmtId="0" fontId="45" fillId="0" borderId="0" xfId="2" applyFont="1" applyFill="1" applyBorder="1" applyAlignment="1"/>
    <xf numFmtId="3" fontId="9" fillId="0" borderId="0" xfId="2" applyNumberFormat="1" applyFont="1" applyFill="1"/>
    <xf numFmtId="0" fontId="104" fillId="0" borderId="0" xfId="57" applyFont="1" applyFill="1"/>
    <xf numFmtId="0" fontId="126" fillId="0" borderId="0" xfId="2" applyFont="1" applyFill="1" applyBorder="1"/>
    <xf numFmtId="0" fontId="127" fillId="0" borderId="0" xfId="0" applyFont="1" applyFill="1" applyBorder="1" applyAlignment="1">
      <alignment vertical="center"/>
    </xf>
    <xf numFmtId="0" fontId="105" fillId="0" borderId="0" xfId="0" applyFont="1" applyFill="1" applyBorder="1"/>
    <xf numFmtId="0" fontId="127" fillId="0" borderId="0" xfId="0" applyFont="1" applyFill="1" applyBorder="1" applyAlignment="1">
      <alignment wrapText="1"/>
    </xf>
    <xf numFmtId="0" fontId="127" fillId="0" borderId="0" xfId="0" applyFont="1" applyFill="1" applyBorder="1" applyAlignment="1">
      <alignment vertical="center" wrapText="1"/>
    </xf>
    <xf numFmtId="0" fontId="105" fillId="0" borderId="0" xfId="0" applyFont="1" applyFill="1"/>
    <xf numFmtId="0" fontId="127" fillId="0" borderId="0" xfId="0" applyFont="1" applyFill="1" applyBorder="1"/>
    <xf numFmtId="0" fontId="105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 wrapText="1"/>
    </xf>
    <xf numFmtId="0" fontId="9" fillId="2" borderId="0" xfId="0" applyFont="1" applyFill="1" applyBorder="1"/>
    <xf numFmtId="3" fontId="45" fillId="2" borderId="0" xfId="0" applyNumberFormat="1" applyFont="1" applyFill="1" applyBorder="1" applyAlignment="1">
      <alignment horizontal="right" vertical="center"/>
    </xf>
    <xf numFmtId="1" fontId="93" fillId="2" borderId="0" xfId="0" applyNumberFormat="1" applyFont="1" applyFill="1" applyBorder="1" applyAlignment="1">
      <alignment horizontal="right" vertical="center" wrapText="1"/>
    </xf>
    <xf numFmtId="0" fontId="93" fillId="2" borderId="0" xfId="0" applyFont="1" applyFill="1" applyBorder="1" applyAlignment="1">
      <alignment horizontal="right" wrapText="1"/>
    </xf>
    <xf numFmtId="0" fontId="45" fillId="0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horizontal="left" wrapText="1"/>
    </xf>
    <xf numFmtId="0" fontId="24" fillId="0" borderId="0" xfId="1535" applyFont="1"/>
    <xf numFmtId="0" fontId="27" fillId="0" borderId="0" xfId="1535" applyFont="1" applyAlignment="1">
      <alignment horizontal="left" vertical="center"/>
    </xf>
    <xf numFmtId="0" fontId="133" fillId="0" borderId="0" xfId="1538" applyFont="1" applyAlignment="1">
      <alignment horizontal="left" vertical="center" wrapText="1"/>
    </xf>
    <xf numFmtId="0" fontId="27" fillId="0" borderId="0" xfId="1535" applyFont="1" applyAlignment="1">
      <alignment horizontal="center" vertical="center"/>
    </xf>
    <xf numFmtId="49" fontId="90" fillId="0" borderId="0" xfId="1538" applyNumberFormat="1" applyFont="1" applyAlignment="1">
      <alignment vertical="top" wrapText="1"/>
    </xf>
    <xf numFmtId="49" fontId="28" fillId="0" borderId="0" xfId="1535" applyNumberFormat="1" applyFont="1" applyAlignment="1">
      <alignment vertical="center"/>
    </xf>
    <xf numFmtId="0" fontId="29" fillId="0" borderId="0" xfId="1535" applyFont="1"/>
    <xf numFmtId="0" fontId="30" fillId="0" borderId="0" xfId="1535" applyFont="1"/>
    <xf numFmtId="0" fontId="24" fillId="0" borderId="0" xfId="1535" applyFont="1" applyAlignment="1">
      <alignment horizontal="left" vertical="center"/>
    </xf>
    <xf numFmtId="0" fontId="30" fillId="0" borderId="0" xfId="1535" applyFont="1" applyAlignment="1">
      <alignment horizontal="center"/>
    </xf>
    <xf numFmtId="0" fontId="24" fillId="0" borderId="0" xfId="1535" applyFont="1" applyAlignment="1">
      <alignment horizontal="right" vertical="center"/>
    </xf>
    <xf numFmtId="0" fontId="24" fillId="0" borderId="0" xfId="1535" applyFont="1" applyAlignment="1">
      <alignment horizontal="left" vertical="center" indent="1"/>
    </xf>
    <xf numFmtId="0" fontId="31" fillId="0" borderId="0" xfId="1535" applyFont="1"/>
    <xf numFmtId="0" fontId="31" fillId="0" borderId="0" xfId="1535" applyFont="1" applyAlignment="1">
      <alignment horizontal="right" vertical="center"/>
    </xf>
    <xf numFmtId="0" fontId="31" fillId="0" borderId="0" xfId="1535" applyFont="1" applyAlignment="1">
      <alignment horizontal="left" vertical="center" indent="1"/>
    </xf>
    <xf numFmtId="49" fontId="27" fillId="0" borderId="0" xfId="1535" applyNumberFormat="1" applyFont="1" applyAlignment="1">
      <alignment vertical="center"/>
    </xf>
    <xf numFmtId="0" fontId="45" fillId="2" borderId="0" xfId="0" applyFont="1" applyFill="1" applyBorder="1" applyAlignment="1"/>
    <xf numFmtId="0" fontId="45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right" vertical="center" wrapText="1"/>
    </xf>
    <xf numFmtId="0" fontId="45" fillId="2" borderId="25" xfId="0" applyFont="1" applyFill="1" applyBorder="1"/>
    <xf numFmtId="0" fontId="45" fillId="2" borderId="0" xfId="0" applyFont="1" applyFill="1" applyBorder="1" applyAlignment="1">
      <alignment horizontal="left" vertical="center"/>
    </xf>
    <xf numFmtId="3" fontId="45" fillId="2" borderId="30" xfId="0" applyNumberFormat="1" applyFont="1" applyFill="1" applyBorder="1" applyAlignment="1">
      <alignment vertical="center"/>
    </xf>
    <xf numFmtId="3" fontId="45" fillId="2" borderId="0" xfId="0" applyNumberFormat="1" applyFont="1" applyFill="1" applyBorder="1" applyAlignment="1">
      <alignment vertical="center"/>
    </xf>
    <xf numFmtId="3" fontId="109" fillId="2" borderId="33" xfId="0" applyNumberFormat="1" applyFont="1" applyFill="1" applyBorder="1" applyAlignment="1">
      <alignment vertical="center"/>
    </xf>
    <xf numFmtId="3" fontId="109" fillId="2" borderId="0" xfId="0" applyNumberFormat="1" applyFont="1" applyFill="1" applyBorder="1" applyAlignment="1">
      <alignment vertical="center"/>
    </xf>
    <xf numFmtId="0" fontId="45" fillId="2" borderId="25" xfId="0" applyFont="1" applyFill="1" applyBorder="1" applyAlignment="1">
      <alignment horizontal="left" vertical="center"/>
    </xf>
    <xf numFmtId="3" fontId="45" fillId="2" borderId="29" xfId="0" applyNumberFormat="1" applyFont="1" applyFill="1" applyBorder="1" applyAlignment="1">
      <alignment vertical="center"/>
    </xf>
    <xf numFmtId="3" fontId="45" fillId="2" borderId="25" xfId="0" applyNumberFormat="1" applyFont="1" applyFill="1" applyBorder="1" applyAlignment="1">
      <alignment vertical="center"/>
    </xf>
    <xf numFmtId="3" fontId="109" fillId="2" borderId="32" xfId="0" applyNumberFormat="1" applyFont="1" applyFill="1" applyBorder="1" applyAlignment="1">
      <alignment vertical="center"/>
    </xf>
    <xf numFmtId="3" fontId="109" fillId="2" borderId="25" xfId="0" applyNumberFormat="1" applyFont="1" applyFill="1" applyBorder="1" applyAlignment="1">
      <alignment vertical="center"/>
    </xf>
    <xf numFmtId="0" fontId="45" fillId="2" borderId="26" xfId="0" applyFont="1" applyFill="1" applyBorder="1" applyAlignment="1">
      <alignment horizontal="left" vertical="center"/>
    </xf>
    <xf numFmtId="3" fontId="45" fillId="2" borderId="28" xfId="0" applyNumberFormat="1" applyFont="1" applyFill="1" applyBorder="1" applyAlignment="1">
      <alignment vertical="center"/>
    </xf>
    <xf numFmtId="3" fontId="45" fillId="2" borderId="26" xfId="0" applyNumberFormat="1" applyFont="1" applyFill="1" applyBorder="1" applyAlignment="1">
      <alignment vertical="center"/>
    </xf>
    <xf numFmtId="3" fontId="109" fillId="2" borderId="31" xfId="0" applyNumberFormat="1" applyFont="1" applyFill="1" applyBorder="1" applyAlignment="1">
      <alignment vertical="center"/>
    </xf>
    <xf numFmtId="3" fontId="109" fillId="2" borderId="26" xfId="0" applyNumberFormat="1" applyFont="1" applyFill="1" applyBorder="1" applyAlignment="1">
      <alignment vertical="center"/>
    </xf>
    <xf numFmtId="3" fontId="45" fillId="2" borderId="27" xfId="0" applyNumberFormat="1" applyFont="1" applyFill="1" applyBorder="1" applyAlignment="1">
      <alignment vertical="center"/>
    </xf>
    <xf numFmtId="3" fontId="45" fillId="2" borderId="6" xfId="0" applyNumberFormat="1" applyFont="1" applyFill="1" applyBorder="1" applyAlignment="1">
      <alignment vertical="center"/>
    </xf>
    <xf numFmtId="3" fontId="109" fillId="2" borderId="34" xfId="0" applyNumberFormat="1" applyFont="1" applyFill="1" applyBorder="1" applyAlignment="1">
      <alignment vertical="center"/>
    </xf>
    <xf numFmtId="3" fontId="109" fillId="2" borderId="6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right" vertical="center"/>
    </xf>
    <xf numFmtId="0" fontId="45" fillId="2" borderId="25" xfId="0" applyFont="1" applyFill="1" applyBorder="1" applyAlignment="1">
      <alignment horizontal="left" vertical="top"/>
    </xf>
    <xf numFmtId="0" fontId="109" fillId="0" borderId="0" xfId="2" applyFont="1" applyFill="1" applyBorder="1" applyAlignment="1">
      <alignment horizontal="right" vertical="top" wrapText="1"/>
    </xf>
    <xf numFmtId="0" fontId="45" fillId="2" borderId="0" xfId="2" applyFont="1" applyFill="1" applyBorder="1" applyAlignment="1">
      <alignment horizontal="left" vertical="center"/>
    </xf>
    <xf numFmtId="165" fontId="45" fillId="2" borderId="0" xfId="2" applyNumberFormat="1" applyFont="1" applyFill="1" applyBorder="1" applyAlignment="1">
      <alignment horizontal="right" vertical="center"/>
    </xf>
    <xf numFmtId="165" fontId="45" fillId="2" borderId="0" xfId="2" applyNumberFormat="1" applyFont="1" applyFill="1" applyBorder="1" applyAlignment="1">
      <alignment vertical="center"/>
    </xf>
    <xf numFmtId="0" fontId="45" fillId="2" borderId="25" xfId="2" applyFont="1" applyFill="1" applyBorder="1" applyAlignment="1">
      <alignment horizontal="left" vertical="center"/>
    </xf>
    <xf numFmtId="165" fontId="45" fillId="2" borderId="25" xfId="2" applyNumberFormat="1" applyFont="1" applyFill="1" applyBorder="1" applyAlignment="1">
      <alignment horizontal="right" vertical="center"/>
    </xf>
    <xf numFmtId="165" fontId="45" fillId="2" borderId="25" xfId="2" applyNumberFormat="1" applyFont="1" applyFill="1" applyBorder="1" applyAlignment="1">
      <alignment vertical="center"/>
    </xf>
    <xf numFmtId="0" fontId="45" fillId="2" borderId="2" xfId="2" applyFont="1" applyFill="1" applyBorder="1" applyAlignment="1">
      <alignment horizontal="left" vertical="center"/>
    </xf>
    <xf numFmtId="165" fontId="45" fillId="2" borderId="30" xfId="2" applyNumberFormat="1" applyFont="1" applyFill="1" applyBorder="1" applyAlignment="1">
      <alignment horizontal="right" vertical="center"/>
    </xf>
    <xf numFmtId="165" fontId="45" fillId="2" borderId="29" xfId="2" applyNumberFormat="1" applyFont="1" applyFill="1" applyBorder="1" applyAlignment="1">
      <alignment horizontal="right" vertical="center"/>
    </xf>
    <xf numFmtId="165" fontId="45" fillId="2" borderId="33" xfId="2" applyNumberFormat="1" applyFont="1" applyFill="1" applyBorder="1" applyAlignment="1">
      <alignment vertical="center"/>
    </xf>
    <xf numFmtId="165" fontId="45" fillId="2" borderId="32" xfId="2" applyNumberFormat="1" applyFont="1" applyFill="1" applyBorder="1" applyAlignment="1">
      <alignment vertical="center"/>
    </xf>
    <xf numFmtId="165" fontId="45" fillId="2" borderId="33" xfId="2" applyNumberFormat="1" applyFont="1" applyFill="1" applyBorder="1" applyAlignment="1">
      <alignment horizontal="right" vertical="center"/>
    </xf>
    <xf numFmtId="165" fontId="45" fillId="2" borderId="32" xfId="2" applyNumberFormat="1" applyFont="1" applyFill="1" applyBorder="1" applyAlignment="1">
      <alignment horizontal="right" vertical="center"/>
    </xf>
    <xf numFmtId="165" fontId="45" fillId="2" borderId="30" xfId="2" applyNumberFormat="1" applyFont="1" applyFill="1" applyBorder="1" applyAlignment="1">
      <alignment vertical="center"/>
    </xf>
    <xf numFmtId="165" fontId="45" fillId="2" borderId="29" xfId="2" applyNumberFormat="1" applyFont="1" applyFill="1" applyBorder="1" applyAlignment="1">
      <alignment vertical="center"/>
    </xf>
    <xf numFmtId="0" fontId="109" fillId="2" borderId="33" xfId="2" applyFont="1" applyFill="1" applyBorder="1" applyAlignment="1">
      <alignment horizontal="center" vertical="center" wrapText="1"/>
    </xf>
    <xf numFmtId="0" fontId="109" fillId="0" borderId="32" xfId="2" applyFont="1" applyFill="1" applyBorder="1"/>
    <xf numFmtId="0" fontId="109" fillId="2" borderId="29" xfId="2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right" wrapText="1"/>
    </xf>
    <xf numFmtId="0" fontId="109" fillId="2" borderId="32" xfId="2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left" vertical="top" wrapText="1"/>
    </xf>
    <xf numFmtId="0" fontId="109" fillId="2" borderId="32" xfId="2" applyFont="1" applyFill="1" applyBorder="1" applyAlignment="1">
      <alignment horizontal="left" vertical="top" wrapText="1"/>
    </xf>
    <xf numFmtId="0" fontId="109" fillId="2" borderId="0" xfId="0" applyFont="1" applyFill="1" applyBorder="1" applyAlignment="1"/>
    <xf numFmtId="0" fontId="109" fillId="2" borderId="25" xfId="0" applyFont="1" applyFill="1" applyBorder="1"/>
    <xf numFmtId="0" fontId="109" fillId="2" borderId="29" xfId="0" applyFont="1" applyFill="1" applyBorder="1" applyAlignment="1">
      <alignment horizontal="right"/>
    </xf>
    <xf numFmtId="0" fontId="109" fillId="2" borderId="25" xfId="0" applyFont="1" applyFill="1" applyBorder="1" applyAlignment="1">
      <alignment horizontal="right"/>
    </xf>
    <xf numFmtId="1" fontId="109" fillId="2" borderId="32" xfId="0" applyNumberFormat="1" applyFont="1" applyFill="1" applyBorder="1" applyAlignment="1">
      <alignment horizontal="right"/>
    </xf>
    <xf numFmtId="1" fontId="109" fillId="2" borderId="25" xfId="0" applyNumberFormat="1" applyFont="1" applyFill="1" applyBorder="1" applyAlignment="1">
      <alignment horizontal="right"/>
    </xf>
    <xf numFmtId="0" fontId="45" fillId="2" borderId="25" xfId="0" applyFont="1" applyFill="1" applyBorder="1" applyAlignment="1">
      <alignment horizontal="left" vertical="center"/>
    </xf>
    <xf numFmtId="0" fontId="109" fillId="2" borderId="31" xfId="2" applyFont="1" applyFill="1" applyBorder="1" applyAlignment="1">
      <alignment horizontal="left" vertical="center"/>
    </xf>
    <xf numFmtId="1" fontId="112" fillId="0" borderId="0" xfId="2" applyNumberFormat="1" applyFont="1" applyFill="1" applyBorder="1" applyAlignment="1">
      <alignment horizontal="left" vertical="top" wrapText="1"/>
    </xf>
    <xf numFmtId="0" fontId="109" fillId="0" borderId="0" xfId="2" applyFont="1" applyFill="1" applyBorder="1" applyAlignment="1">
      <alignment vertical="top" wrapText="1"/>
    </xf>
    <xf numFmtId="0" fontId="113" fillId="0" borderId="0" xfId="2" applyFont="1" applyFill="1" applyBorder="1" applyAlignment="1">
      <alignment horizontal="left" vertical="top" wrapText="1"/>
    </xf>
    <xf numFmtId="165" fontId="45" fillId="2" borderId="0" xfId="2" applyNumberFormat="1" applyFont="1" applyFill="1" applyBorder="1" applyAlignment="1">
      <alignment horizontal="right"/>
    </xf>
    <xf numFmtId="0" fontId="45" fillId="2" borderId="0" xfId="2" applyFont="1" applyFill="1" applyBorder="1" applyAlignment="1">
      <alignment horizontal="center" vertical="center" wrapText="1"/>
    </xf>
    <xf numFmtId="164" fontId="45" fillId="2" borderId="0" xfId="1" applyNumberFormat="1" applyFont="1" applyFill="1" applyBorder="1" applyAlignment="1">
      <alignment vertical="center"/>
    </xf>
    <xf numFmtId="165" fontId="45" fillId="2" borderId="0" xfId="20" applyNumberFormat="1" applyFont="1" applyFill="1" applyBorder="1" applyAlignment="1">
      <alignment horizontal="right" vertical="center"/>
    </xf>
    <xf numFmtId="0" fontId="45" fillId="2" borderId="25" xfId="2" applyFont="1" applyFill="1" applyBorder="1" applyAlignment="1">
      <alignment horizontal="left"/>
    </xf>
    <xf numFmtId="164" fontId="45" fillId="2" borderId="25" xfId="1" applyNumberFormat="1" applyFont="1" applyFill="1" applyBorder="1" applyAlignment="1">
      <alignment vertical="center"/>
    </xf>
    <xf numFmtId="165" fontId="45" fillId="2" borderId="25" xfId="2" applyNumberFormat="1" applyFont="1" applyFill="1" applyBorder="1" applyAlignment="1">
      <alignment horizontal="right"/>
    </xf>
    <xf numFmtId="0" fontId="45" fillId="2" borderId="6" xfId="2" applyFont="1" applyFill="1" applyBorder="1" applyAlignment="1">
      <alignment horizontal="left" vertical="center"/>
    </xf>
    <xf numFmtId="0" fontId="109" fillId="2" borderId="0" xfId="2" applyFont="1" applyFill="1" applyBorder="1" applyAlignment="1">
      <alignment horizontal="center" vertical="center" wrapText="1"/>
    </xf>
    <xf numFmtId="0" fontId="109" fillId="2" borderId="25" xfId="2" applyFont="1" applyFill="1" applyBorder="1" applyAlignment="1">
      <alignment horizontal="left"/>
    </xf>
    <xf numFmtId="0" fontId="109" fillId="2" borderId="25" xfId="0" applyFont="1" applyFill="1" applyBorder="1" applyAlignment="1">
      <alignment horizontal="right" wrapText="1"/>
    </xf>
    <xf numFmtId="165" fontId="45" fillId="2" borderId="30" xfId="20" applyNumberFormat="1" applyFont="1" applyFill="1" applyBorder="1" applyAlignment="1">
      <alignment horizontal="right" vertical="center"/>
    </xf>
    <xf numFmtId="0" fontId="109" fillId="2" borderId="29" xfId="0" applyFont="1" applyFill="1" applyBorder="1" applyAlignment="1">
      <alignment horizontal="right" wrapText="1"/>
    </xf>
    <xf numFmtId="0" fontId="109" fillId="2" borderId="32" xfId="0" applyFont="1" applyFill="1" applyBorder="1" applyAlignment="1">
      <alignment horizontal="right" wrapText="1"/>
    </xf>
    <xf numFmtId="165" fontId="45" fillId="2" borderId="33" xfId="20" applyNumberFormat="1" applyFont="1" applyFill="1" applyBorder="1" applyAlignment="1">
      <alignment horizontal="right" vertical="center"/>
    </xf>
    <xf numFmtId="0" fontId="45" fillId="0" borderId="32" xfId="2" applyFont="1" applyFill="1" applyBorder="1"/>
    <xf numFmtId="0" fontId="109" fillId="2" borderId="29" xfId="0" applyFont="1" applyFill="1" applyBorder="1" applyAlignment="1">
      <alignment horizontal="right" textRotation="90" wrapText="1"/>
    </xf>
    <xf numFmtId="0" fontId="109" fillId="2" borderId="25" xfId="0" applyFont="1" applyFill="1" applyBorder="1" applyAlignment="1">
      <alignment horizontal="right" textRotation="90" wrapText="1"/>
    </xf>
    <xf numFmtId="0" fontId="109" fillId="2" borderId="32" xfId="0" applyFont="1" applyFill="1" applyBorder="1" applyAlignment="1">
      <alignment horizontal="right" textRotation="90" wrapText="1"/>
    </xf>
    <xf numFmtId="0" fontId="109" fillId="2" borderId="6" xfId="2" applyFont="1" applyFill="1" applyBorder="1" applyAlignment="1">
      <alignment horizontal="left" vertical="center"/>
    </xf>
    <xf numFmtId="0" fontId="136" fillId="0" borderId="25" xfId="0" applyFont="1" applyFill="1" applyBorder="1"/>
    <xf numFmtId="0" fontId="136" fillId="0" borderId="25" xfId="0" applyFont="1" applyFill="1" applyBorder="1" applyAlignment="1"/>
    <xf numFmtId="1" fontId="109" fillId="2" borderId="29" xfId="2" applyNumberFormat="1" applyFont="1" applyFill="1" applyBorder="1" applyAlignment="1">
      <alignment horizontal="right" wrapText="1"/>
    </xf>
    <xf numFmtId="1" fontId="109" fillId="2" borderId="25" xfId="2" applyNumberFormat="1" applyFont="1" applyFill="1" applyBorder="1" applyAlignment="1">
      <alignment horizontal="right" wrapText="1"/>
    </xf>
    <xf numFmtId="1" fontId="109" fillId="2" borderId="32" xfId="2" applyNumberFormat="1" applyFont="1" applyFill="1" applyBorder="1" applyAlignment="1">
      <alignment horizontal="right" wrapText="1"/>
    </xf>
    <xf numFmtId="0" fontId="109" fillId="2" borderId="25" xfId="2" applyFont="1" applyFill="1" applyBorder="1" applyAlignment="1">
      <alignment horizontal="right" textRotation="90" wrapText="1"/>
    </xf>
    <xf numFmtId="3" fontId="45" fillId="2" borderId="0" xfId="2" applyNumberFormat="1" applyFont="1" applyFill="1" applyBorder="1" applyAlignment="1">
      <alignment horizontal="right" vertical="center"/>
    </xf>
    <xf numFmtId="3" fontId="45" fillId="2" borderId="0" xfId="2" applyNumberFormat="1" applyFont="1" applyFill="1" applyBorder="1" applyAlignment="1">
      <alignment vertical="center"/>
    </xf>
    <xf numFmtId="0" fontId="109" fillId="0" borderId="25" xfId="2" applyFont="1" applyFill="1" applyBorder="1" applyAlignment="1">
      <alignment horizontal="right" vertical="top" wrapText="1"/>
    </xf>
    <xf numFmtId="3" fontId="45" fillId="2" borderId="25" xfId="2" applyNumberFormat="1" applyFont="1" applyFill="1" applyBorder="1" applyAlignment="1">
      <alignment horizontal="right" vertical="center"/>
    </xf>
    <xf numFmtId="3" fontId="45" fillId="2" borderId="25" xfId="2" applyNumberFormat="1" applyFont="1" applyFill="1" applyBorder="1" applyAlignment="1">
      <alignment vertical="center"/>
    </xf>
    <xf numFmtId="3" fontId="45" fillId="2" borderId="30" xfId="2" applyNumberFormat="1" applyFont="1" applyFill="1" applyBorder="1" applyAlignment="1">
      <alignment horizontal="right" vertical="center"/>
    </xf>
    <xf numFmtId="3" fontId="45" fillId="2" borderId="29" xfId="2" applyNumberFormat="1" applyFont="1" applyFill="1" applyBorder="1" applyAlignment="1">
      <alignment horizontal="right" vertical="center"/>
    </xf>
    <xf numFmtId="3" fontId="45" fillId="2" borderId="33" xfId="2" applyNumberFormat="1" applyFont="1" applyFill="1" applyBorder="1" applyAlignment="1">
      <alignment vertical="center"/>
    </xf>
    <xf numFmtId="3" fontId="45" fillId="2" borderId="32" xfId="2" applyNumberFormat="1" applyFont="1" applyFill="1" applyBorder="1" applyAlignment="1">
      <alignment vertical="center"/>
    </xf>
    <xf numFmtId="3" fontId="45" fillId="2" borderId="33" xfId="2" applyNumberFormat="1" applyFont="1" applyFill="1" applyBorder="1" applyAlignment="1">
      <alignment horizontal="right" vertical="center"/>
    </xf>
    <xf numFmtId="0" fontId="109" fillId="2" borderId="30" xfId="2" applyFont="1" applyFill="1" applyBorder="1"/>
    <xf numFmtId="0" fontId="109" fillId="2" borderId="0" xfId="2" applyFont="1" applyFill="1" applyBorder="1"/>
    <xf numFmtId="0" fontId="109" fillId="2" borderId="33" xfId="2" applyFont="1" applyFill="1" applyBorder="1"/>
    <xf numFmtId="0" fontId="109" fillId="2" borderId="0" xfId="2" applyFont="1" applyFill="1" applyBorder="1" applyAlignment="1">
      <alignment horizontal="left" vertical="center" wrapText="1"/>
    </xf>
    <xf numFmtId="0" fontId="109" fillId="2" borderId="0" xfId="2" applyFont="1" applyFill="1" applyBorder="1" applyAlignment="1">
      <alignment vertical="center" wrapText="1"/>
    </xf>
    <xf numFmtId="0" fontId="109" fillId="2" borderId="30" xfId="2" applyFont="1" applyFill="1" applyBorder="1" applyAlignment="1">
      <alignment vertical="center" wrapText="1"/>
    </xf>
    <xf numFmtId="165" fontId="45" fillId="0" borderId="0" xfId="0" applyNumberFormat="1" applyFont="1" applyFill="1" applyBorder="1" applyAlignment="1">
      <alignment horizontal="center"/>
    </xf>
    <xf numFmtId="0" fontId="109" fillId="2" borderId="0" xfId="0" applyFont="1" applyFill="1" applyBorder="1" applyAlignment="1">
      <alignment vertical="center"/>
    </xf>
    <xf numFmtId="1" fontId="112" fillId="0" borderId="25" xfId="0" applyNumberFormat="1" applyFont="1" applyFill="1" applyBorder="1" applyAlignment="1">
      <alignment vertical="top"/>
    </xf>
    <xf numFmtId="0" fontId="93" fillId="0" borderId="25" xfId="0" applyFont="1" applyFill="1" applyBorder="1" applyAlignment="1">
      <alignment vertical="top" wrapText="1"/>
    </xf>
    <xf numFmtId="165" fontId="45" fillId="2" borderId="0" xfId="0" applyNumberFormat="1" applyFont="1" applyFill="1" applyBorder="1" applyAlignment="1"/>
    <xf numFmtId="165" fontId="45" fillId="2" borderId="0" xfId="0" applyNumberFormat="1" applyFont="1" applyFill="1" applyBorder="1" applyAlignment="1">
      <alignment vertical="center"/>
    </xf>
    <xf numFmtId="3" fontId="45" fillId="2" borderId="0" xfId="0" applyNumberFormat="1" applyFont="1" applyFill="1" applyBorder="1" applyAlignment="1">
      <alignment vertical="top" wrapText="1"/>
    </xf>
    <xf numFmtId="165" fontId="45" fillId="2" borderId="0" xfId="0" applyNumberFormat="1" applyFont="1" applyFill="1" applyBorder="1" applyAlignment="1">
      <alignment vertical="top" wrapText="1"/>
    </xf>
    <xf numFmtId="3" fontId="45" fillId="2" borderId="0" xfId="0" applyNumberFormat="1" applyFont="1" applyFill="1" applyBorder="1" applyAlignment="1"/>
    <xf numFmtId="3" fontId="45" fillId="2" borderId="0" xfId="0" applyNumberFormat="1" applyFont="1" applyFill="1" applyBorder="1" applyAlignment="1">
      <alignment vertical="top"/>
    </xf>
    <xf numFmtId="0" fontId="109" fillId="2" borderId="25" xfId="0" applyFont="1" applyFill="1" applyBorder="1" applyAlignment="1">
      <alignment horizontal="left" wrapText="1"/>
    </xf>
    <xf numFmtId="165" fontId="45" fillId="2" borderId="25" xfId="0" applyNumberFormat="1" applyFont="1" applyFill="1" applyBorder="1" applyAlignment="1">
      <alignment vertical="center"/>
    </xf>
    <xf numFmtId="0" fontId="45" fillId="2" borderId="6" xfId="0" applyFont="1" applyFill="1" applyBorder="1" applyAlignment="1">
      <alignment horizontal="left" vertical="center"/>
    </xf>
    <xf numFmtId="165" fontId="45" fillId="2" borderId="6" xfId="0" applyNumberFormat="1" applyFont="1" applyFill="1" applyBorder="1" applyAlignment="1">
      <alignment vertical="center"/>
    </xf>
    <xf numFmtId="3" fontId="45" fillId="2" borderId="30" xfId="0" applyNumberFormat="1" applyFont="1" applyFill="1" applyBorder="1" applyAlignment="1"/>
    <xf numFmtId="3" fontId="45" fillId="2" borderId="30" xfId="0" applyNumberFormat="1" applyFont="1" applyFill="1" applyBorder="1" applyAlignment="1">
      <alignment vertical="top"/>
    </xf>
    <xf numFmtId="165" fontId="45" fillId="2" borderId="33" xfId="0" applyNumberFormat="1" applyFont="1" applyFill="1" applyBorder="1" applyAlignment="1"/>
    <xf numFmtId="165" fontId="45" fillId="2" borderId="33" xfId="0" applyNumberFormat="1" applyFont="1" applyFill="1" applyBorder="1" applyAlignment="1">
      <alignment vertical="center"/>
    </xf>
    <xf numFmtId="165" fontId="45" fillId="2" borderId="33" xfId="0" applyNumberFormat="1" applyFont="1" applyFill="1" applyBorder="1" applyAlignment="1">
      <alignment vertical="top" wrapText="1"/>
    </xf>
    <xf numFmtId="165" fontId="45" fillId="2" borderId="32" xfId="0" applyNumberFormat="1" applyFont="1" applyFill="1" applyBorder="1" applyAlignment="1">
      <alignment vertical="center"/>
    </xf>
    <xf numFmtId="165" fontId="45" fillId="2" borderId="34" xfId="0" applyNumberFormat="1" applyFont="1" applyFill="1" applyBorder="1" applyAlignment="1">
      <alignment vertical="center"/>
    </xf>
    <xf numFmtId="0" fontId="109" fillId="2" borderId="0" xfId="0" applyFont="1" applyFill="1" applyBorder="1" applyAlignment="1">
      <alignment horizontal="right" wrapText="1"/>
    </xf>
    <xf numFmtId="0" fontId="120" fillId="2" borderId="32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left" wrapText="1"/>
    </xf>
    <xf numFmtId="3" fontId="45" fillId="0" borderId="25" xfId="0" applyNumberFormat="1" applyFont="1" applyFill="1" applyBorder="1"/>
    <xf numFmtId="3" fontId="45" fillId="0" borderId="25" xfId="0" applyNumberFormat="1" applyFont="1" applyFill="1" applyBorder="1" applyAlignment="1">
      <alignment horizontal="center"/>
    </xf>
    <xf numFmtId="0" fontId="9" fillId="0" borderId="25" xfId="0" applyFont="1" applyFill="1" applyBorder="1"/>
    <xf numFmtId="3" fontId="45" fillId="0" borderId="25" xfId="0" applyNumberFormat="1" applyFont="1" applyFill="1" applyBorder="1" applyAlignment="1">
      <alignment horizontal="right"/>
    </xf>
    <xf numFmtId="165" fontId="45" fillId="0" borderId="25" xfId="0" applyNumberFormat="1" applyFont="1" applyFill="1" applyBorder="1" applyAlignment="1">
      <alignment horizontal="center"/>
    </xf>
    <xf numFmtId="3" fontId="45" fillId="0" borderId="28" xfId="0" applyNumberFormat="1" applyFont="1" applyFill="1" applyBorder="1"/>
    <xf numFmtId="3" fontId="45" fillId="0" borderId="26" xfId="0" applyNumberFormat="1" applyFont="1" applyFill="1" applyBorder="1"/>
    <xf numFmtId="3" fontId="45" fillId="0" borderId="26" xfId="0" applyNumberFormat="1" applyFont="1" applyFill="1" applyBorder="1" applyAlignment="1">
      <alignment horizontal="center"/>
    </xf>
    <xf numFmtId="3" fontId="45" fillId="0" borderId="29" xfId="0" applyNumberFormat="1" applyFont="1" applyFill="1" applyBorder="1"/>
    <xf numFmtId="3" fontId="45" fillId="0" borderId="30" xfId="0" applyNumberFormat="1" applyFont="1" applyFill="1" applyBorder="1" applyAlignment="1">
      <alignment horizontal="right"/>
    </xf>
    <xf numFmtId="3" fontId="45" fillId="0" borderId="29" xfId="0" applyNumberFormat="1" applyFont="1" applyFill="1" applyBorder="1" applyAlignment="1">
      <alignment horizontal="right"/>
    </xf>
    <xf numFmtId="3" fontId="45" fillId="0" borderId="31" xfId="0" applyNumberFormat="1" applyFont="1" applyFill="1" applyBorder="1" applyAlignment="1">
      <alignment horizontal="center"/>
    </xf>
    <xf numFmtId="3" fontId="45" fillId="0" borderId="32" xfId="0" applyNumberFormat="1" applyFont="1" applyFill="1" applyBorder="1" applyAlignment="1">
      <alignment horizontal="center"/>
    </xf>
    <xf numFmtId="165" fontId="45" fillId="0" borderId="33" xfId="0" applyNumberFormat="1" applyFont="1" applyFill="1" applyBorder="1" applyAlignment="1">
      <alignment horizontal="center"/>
    </xf>
    <xf numFmtId="165" fontId="45" fillId="0" borderId="32" xfId="0" applyNumberFormat="1" applyFont="1" applyFill="1" applyBorder="1" applyAlignment="1">
      <alignment horizontal="center"/>
    </xf>
    <xf numFmtId="0" fontId="121" fillId="0" borderId="30" xfId="0" applyFont="1" applyFill="1" applyBorder="1"/>
    <xf numFmtId="3" fontId="118" fillId="0" borderId="30" xfId="0" applyNumberFormat="1" applyFont="1" applyFill="1" applyBorder="1" applyAlignment="1">
      <alignment horizontal="right"/>
    </xf>
    <xf numFmtId="0" fontId="118" fillId="0" borderId="30" xfId="0" applyFont="1" applyFill="1" applyBorder="1" applyAlignment="1">
      <alignment horizontal="right"/>
    </xf>
    <xf numFmtId="0" fontId="9" fillId="0" borderId="29" xfId="0" applyFont="1" applyFill="1" applyBorder="1"/>
    <xf numFmtId="0" fontId="121" fillId="0" borderId="33" xfId="0" applyFont="1" applyFill="1" applyBorder="1"/>
    <xf numFmtId="0" fontId="9" fillId="0" borderId="32" xfId="0" applyFont="1" applyFill="1" applyBorder="1"/>
    <xf numFmtId="0" fontId="127" fillId="0" borderId="30" xfId="0" applyFont="1" applyFill="1" applyBorder="1" applyAlignment="1">
      <alignment horizontal="left" vertical="top"/>
    </xf>
    <xf numFmtId="0" fontId="109" fillId="2" borderId="0" xfId="0" applyFont="1" applyFill="1" applyBorder="1" applyAlignment="1">
      <alignment horizontal="left" vertical="center"/>
    </xf>
    <xf numFmtId="1" fontId="93" fillId="0" borderId="0" xfId="0" applyNumberFormat="1" applyFont="1" applyFill="1" applyBorder="1" applyAlignment="1">
      <alignment vertical="center" wrapText="1"/>
    </xf>
    <xf numFmtId="1" fontId="93" fillId="0" borderId="0" xfId="0" applyNumberFormat="1" applyFont="1" applyFill="1" applyBorder="1" applyAlignment="1">
      <alignment horizontal="left" vertical="center" wrapText="1"/>
    </xf>
    <xf numFmtId="0" fontId="93" fillId="0" borderId="0" xfId="0" applyFont="1" applyFill="1" applyBorder="1" applyAlignment="1">
      <alignment vertical="center" wrapText="1"/>
    </xf>
    <xf numFmtId="1" fontId="9" fillId="0" borderId="0" xfId="0" applyNumberFormat="1" applyFont="1" applyFill="1" applyBorder="1" applyAlignment="1">
      <alignment vertical="center" wrapText="1"/>
    </xf>
    <xf numFmtId="1" fontId="109" fillId="2" borderId="0" xfId="0" applyNumberFormat="1" applyFont="1" applyFill="1" applyBorder="1" applyAlignment="1">
      <alignment horizontal="right" vertical="center" wrapText="1"/>
    </xf>
    <xf numFmtId="0" fontId="109" fillId="2" borderId="0" xfId="0" applyFont="1" applyFill="1" applyBorder="1" applyAlignment="1">
      <alignment horizontal="left" wrapText="1"/>
    </xf>
    <xf numFmtId="0" fontId="45" fillId="2" borderId="0" xfId="0" applyFont="1" applyFill="1" applyBorder="1" applyAlignment="1">
      <alignment wrapText="1"/>
    </xf>
    <xf numFmtId="164" fontId="45" fillId="2" borderId="0" xfId="1" applyNumberFormat="1" applyFont="1" applyFill="1" applyBorder="1" applyAlignment="1">
      <alignment horizontal="right" vertical="center"/>
    </xf>
    <xf numFmtId="3" fontId="45" fillId="2" borderId="26" xfId="0" applyNumberFormat="1" applyFont="1" applyFill="1" applyBorder="1" applyAlignment="1">
      <alignment horizontal="right" vertical="center"/>
    </xf>
    <xf numFmtId="164" fontId="45" fillId="2" borderId="26" xfId="1" applyNumberFormat="1" applyFont="1" applyFill="1" applyBorder="1" applyAlignment="1">
      <alignment horizontal="right" vertical="center"/>
    </xf>
    <xf numFmtId="3" fontId="45" fillId="2" borderId="25" xfId="0" applyNumberFormat="1" applyFont="1" applyFill="1" applyBorder="1" applyAlignment="1">
      <alignment horizontal="right" vertical="center"/>
    </xf>
    <xf numFmtId="164" fontId="45" fillId="2" borderId="25" xfId="1" applyNumberFormat="1" applyFont="1" applyFill="1" applyBorder="1" applyAlignment="1">
      <alignment horizontal="right" vertical="center"/>
    </xf>
    <xf numFmtId="3" fontId="45" fillId="2" borderId="28" xfId="0" applyNumberFormat="1" applyFont="1" applyFill="1" applyBorder="1" applyAlignment="1">
      <alignment horizontal="right" vertical="center"/>
    </xf>
    <xf numFmtId="3" fontId="45" fillId="2" borderId="30" xfId="0" applyNumberFormat="1" applyFont="1" applyFill="1" applyBorder="1" applyAlignment="1">
      <alignment horizontal="right" vertical="center"/>
    </xf>
    <xf numFmtId="3" fontId="45" fillId="2" borderId="29" xfId="0" applyNumberFormat="1" applyFont="1" applyFill="1" applyBorder="1" applyAlignment="1">
      <alignment horizontal="right" vertical="center"/>
    </xf>
    <xf numFmtId="1" fontId="93" fillId="0" borderId="25" xfId="0" applyNumberFormat="1" applyFont="1" applyFill="1" applyBorder="1" applyAlignment="1">
      <alignment vertical="center" wrapText="1"/>
    </xf>
    <xf numFmtId="1" fontId="93" fillId="0" borderId="25" xfId="0" applyNumberFormat="1" applyFont="1" applyFill="1" applyBorder="1" applyAlignment="1">
      <alignment horizontal="left" vertical="center" wrapText="1"/>
    </xf>
    <xf numFmtId="0" fontId="93" fillId="0" borderId="25" xfId="0" applyFont="1" applyFill="1" applyBorder="1" applyAlignment="1">
      <alignment vertical="center" wrapText="1"/>
    </xf>
    <xf numFmtId="0" fontId="109" fillId="2" borderId="25" xfId="0" applyFont="1" applyFill="1" applyBorder="1" applyAlignment="1">
      <alignment horizontal="left" vertical="center"/>
    </xf>
    <xf numFmtId="3" fontId="109" fillId="2" borderId="25" xfId="0" applyNumberFormat="1" applyFont="1" applyFill="1" applyBorder="1" applyAlignment="1">
      <alignment horizontal="right" vertical="center"/>
    </xf>
    <xf numFmtId="164" fontId="109" fillId="2" borderId="25" xfId="1" applyNumberFormat="1" applyFont="1" applyFill="1" applyBorder="1" applyAlignment="1">
      <alignment horizontal="right" vertical="center"/>
    </xf>
    <xf numFmtId="3" fontId="109" fillId="2" borderId="29" xfId="0" applyNumberFormat="1" applyFont="1" applyFill="1" applyBorder="1" applyAlignment="1">
      <alignment horizontal="right" vertical="center"/>
    </xf>
    <xf numFmtId="0" fontId="109" fillId="2" borderId="25" xfId="0" applyFont="1" applyFill="1" applyBorder="1" applyAlignment="1">
      <alignment vertical="top" wrapText="1"/>
    </xf>
    <xf numFmtId="0" fontId="109" fillId="2" borderId="25" xfId="0" applyFont="1" applyFill="1" applyBorder="1" applyAlignment="1">
      <alignment horizontal="left" vertical="top" wrapText="1"/>
    </xf>
    <xf numFmtId="165" fontId="115" fillId="2" borderId="0" xfId="1" applyNumberFormat="1" applyFont="1" applyFill="1" applyBorder="1" applyAlignment="1">
      <alignment horizontal="right" vertical="center"/>
    </xf>
    <xf numFmtId="165" fontId="115" fillId="2" borderId="0" xfId="0" applyNumberFormat="1" applyFont="1" applyFill="1" applyBorder="1" applyAlignment="1">
      <alignment horizontal="right" vertical="center"/>
    </xf>
    <xf numFmtId="165" fontId="45" fillId="2" borderId="0" xfId="1" applyNumberFormat="1" applyFont="1" applyFill="1" applyBorder="1" applyAlignment="1">
      <alignment horizontal="right" vertical="center"/>
    </xf>
    <xf numFmtId="165" fontId="45" fillId="2" borderId="0" xfId="0" applyNumberFormat="1" applyFont="1" applyFill="1" applyBorder="1" applyAlignment="1">
      <alignment horizontal="right" vertical="center"/>
    </xf>
    <xf numFmtId="165" fontId="45" fillId="2" borderId="25" xfId="1" applyNumberFormat="1" applyFont="1" applyFill="1" applyBorder="1" applyAlignment="1">
      <alignment horizontal="right" vertical="center"/>
    </xf>
    <xf numFmtId="165" fontId="45" fillId="2" borderId="25" xfId="0" applyNumberFormat="1" applyFont="1" applyFill="1" applyBorder="1" applyAlignment="1">
      <alignment horizontal="right" vertical="center"/>
    </xf>
    <xf numFmtId="165" fontId="115" fillId="2" borderId="30" xfId="1" applyNumberFormat="1" applyFont="1" applyFill="1" applyBorder="1" applyAlignment="1">
      <alignment horizontal="right" vertical="center"/>
    </xf>
    <xf numFmtId="165" fontId="45" fillId="2" borderId="29" xfId="1" applyNumberFormat="1" applyFont="1" applyFill="1" applyBorder="1" applyAlignment="1">
      <alignment horizontal="right" vertical="center"/>
    </xf>
    <xf numFmtId="164" fontId="45" fillId="2" borderId="33" xfId="1" applyNumberFormat="1" applyFont="1" applyFill="1" applyBorder="1" applyAlignment="1">
      <alignment horizontal="right" vertical="center"/>
    </xf>
    <xf numFmtId="164" fontId="45" fillId="2" borderId="32" xfId="1" applyNumberFormat="1" applyFont="1" applyFill="1" applyBorder="1" applyAlignment="1">
      <alignment horizontal="right" vertical="center"/>
    </xf>
    <xf numFmtId="3" fontId="45" fillId="2" borderId="30" xfId="2" applyNumberFormat="1" applyFont="1" applyFill="1" applyBorder="1" applyAlignment="1">
      <alignment vertical="center"/>
    </xf>
    <xf numFmtId="3" fontId="45" fillId="2" borderId="29" xfId="2" applyNumberFormat="1" applyFont="1" applyFill="1" applyBorder="1" applyAlignment="1">
      <alignment vertical="center"/>
    </xf>
    <xf numFmtId="0" fontId="109" fillId="2" borderId="26" xfId="2" applyFont="1" applyFill="1" applyBorder="1" applyAlignment="1">
      <alignment horizontal="left" vertical="center" wrapText="1"/>
    </xf>
    <xf numFmtId="0" fontId="45" fillId="2" borderId="32" xfId="2" applyFont="1" applyFill="1" applyBorder="1" applyAlignment="1">
      <alignment horizontal="left"/>
    </xf>
    <xf numFmtId="0" fontId="109" fillId="2" borderId="29" xfId="2" applyFont="1" applyFill="1" applyBorder="1" applyAlignment="1">
      <alignment horizontal="right" textRotation="90" wrapText="1"/>
    </xf>
    <xf numFmtId="0" fontId="109" fillId="2" borderId="32" xfId="2" applyFont="1" applyFill="1" applyBorder="1" applyAlignment="1">
      <alignment horizontal="right" textRotation="90" wrapText="1"/>
    </xf>
    <xf numFmtId="0" fontId="109" fillId="2" borderId="26" xfId="0" applyFont="1" applyFill="1" applyBorder="1" applyAlignment="1">
      <alignment horizontal="left" vertical="top" wrapText="1"/>
    </xf>
    <xf numFmtId="0" fontId="109" fillId="2" borderId="28" xfId="0" applyFont="1" applyFill="1" applyBorder="1" applyAlignment="1">
      <alignment horizontal="left" vertical="top" wrapText="1"/>
    </xf>
    <xf numFmtId="0" fontId="109" fillId="2" borderId="26" xfId="0" applyFont="1" applyFill="1" applyBorder="1" applyAlignment="1">
      <alignment vertical="center" wrapText="1"/>
    </xf>
    <xf numFmtId="0" fontId="109" fillId="2" borderId="29" xfId="0" applyFont="1" applyFill="1" applyBorder="1" applyAlignment="1">
      <alignment vertical="top" wrapText="1"/>
    </xf>
    <xf numFmtId="164" fontId="110" fillId="2" borderId="0" xfId="1" applyNumberFormat="1" applyFont="1" applyFill="1" applyBorder="1" applyAlignment="1">
      <alignment horizontal="right" vertical="center"/>
    </xf>
    <xf numFmtId="0" fontId="109" fillId="2" borderId="30" xfId="0" applyFont="1" applyFill="1" applyBorder="1" applyAlignment="1">
      <alignment horizontal="right"/>
    </xf>
    <xf numFmtId="0" fontId="109" fillId="2" borderId="0" xfId="0" applyFont="1" applyFill="1" applyBorder="1" applyAlignment="1">
      <alignment horizontal="right"/>
    </xf>
    <xf numFmtId="0" fontId="138" fillId="2" borderId="30" xfId="0" applyFont="1" applyFill="1" applyBorder="1" applyAlignment="1">
      <alignment horizontal="right" wrapText="1"/>
    </xf>
    <xf numFmtId="0" fontId="138" fillId="2" borderId="0" xfId="0" applyFont="1" applyFill="1" applyBorder="1" applyAlignment="1">
      <alignment horizontal="right" wrapText="1"/>
    </xf>
    <xf numFmtId="0" fontId="109" fillId="2" borderId="25" xfId="0" applyFont="1" applyFill="1" applyBorder="1" applyAlignment="1">
      <alignment horizontal="left" vertical="center" wrapText="1"/>
    </xf>
    <xf numFmtId="0" fontId="138" fillId="2" borderId="29" xfId="0" applyFont="1" applyFill="1" applyBorder="1" applyAlignment="1">
      <alignment horizontal="right" wrapText="1"/>
    </xf>
    <xf numFmtId="0" fontId="138" fillId="2" borderId="25" xfId="0" applyFont="1" applyFill="1" applyBorder="1" applyAlignment="1">
      <alignment horizontal="right" wrapText="1"/>
    </xf>
    <xf numFmtId="0" fontId="93" fillId="2" borderId="0" xfId="0" applyFont="1" applyFill="1" applyBorder="1" applyAlignment="1">
      <alignment horizontal="left" wrapText="1"/>
    </xf>
    <xf numFmtId="1" fontId="109" fillId="2" borderId="26" xfId="0" applyNumberFormat="1" applyFont="1" applyFill="1" applyBorder="1" applyAlignment="1">
      <alignment horizontal="left" vertical="center" wrapText="1"/>
    </xf>
    <xf numFmtId="0" fontId="45" fillId="2" borderId="0" xfId="0" applyFont="1" applyFill="1" applyBorder="1"/>
    <xf numFmtId="0" fontId="45" fillId="0" borderId="25" xfId="0" applyFont="1" applyFill="1" applyBorder="1"/>
    <xf numFmtId="0" fontId="109" fillId="2" borderId="25" xfId="0" applyFont="1" applyFill="1" applyBorder="1" applyAlignment="1">
      <alignment vertical="top"/>
    </xf>
    <xf numFmtId="0" fontId="109" fillId="2" borderId="25" xfId="0" applyFont="1" applyFill="1" applyBorder="1" applyAlignment="1">
      <alignment horizontal="center"/>
    </xf>
    <xf numFmtId="0" fontId="45" fillId="2" borderId="6" xfId="0" applyFont="1" applyFill="1" applyBorder="1" applyAlignment="1">
      <alignment vertical="center"/>
    </xf>
    <xf numFmtId="1" fontId="45" fillId="2" borderId="6" xfId="0" applyNumberFormat="1" applyFont="1" applyFill="1" applyBorder="1" applyAlignment="1">
      <alignment vertical="center" wrapText="1"/>
    </xf>
    <xf numFmtId="0" fontId="45" fillId="2" borderId="6" xfId="0" applyFont="1" applyFill="1" applyBorder="1" applyAlignment="1">
      <alignment horizontal="right" vertical="center"/>
    </xf>
    <xf numFmtId="3" fontId="45" fillId="2" borderId="6" xfId="0" applyNumberFormat="1" applyFont="1" applyFill="1" applyBorder="1" applyAlignment="1">
      <alignment horizontal="right" vertical="center"/>
    </xf>
    <xf numFmtId="164" fontId="45" fillId="2" borderId="6" xfId="1" applyNumberFormat="1" applyFont="1" applyFill="1" applyBorder="1" applyAlignment="1">
      <alignment horizontal="right" vertical="center"/>
    </xf>
    <xf numFmtId="0" fontId="109" fillId="2" borderId="6" xfId="0" applyFont="1" applyFill="1" applyBorder="1" applyAlignment="1">
      <alignment vertical="center" wrapText="1"/>
    </xf>
    <xf numFmtId="0" fontId="109" fillId="2" borderId="30" xfId="0" applyFont="1" applyFill="1" applyBorder="1" applyAlignment="1">
      <alignment vertical="top" wrapText="1"/>
    </xf>
    <xf numFmtId="0" fontId="129" fillId="0" borderId="30" xfId="0" applyFont="1" applyFill="1" applyBorder="1"/>
    <xf numFmtId="0" fontId="109" fillId="2" borderId="25" xfId="0" applyFont="1" applyFill="1" applyBorder="1" applyAlignment="1">
      <alignment horizontal="center" vertical="center" wrapText="1"/>
    </xf>
    <xf numFmtId="164" fontId="45" fillId="2" borderId="0" xfId="0" applyNumberFormat="1" applyFont="1" applyFill="1" applyBorder="1" applyAlignment="1">
      <alignment vertical="center"/>
    </xf>
    <xf numFmtId="0" fontId="45" fillId="2" borderId="25" xfId="0" applyFont="1" applyFill="1" applyBorder="1" applyAlignment="1">
      <alignment vertical="center"/>
    </xf>
    <xf numFmtId="0" fontId="109" fillId="2" borderId="0" xfId="0" applyFont="1" applyFill="1" applyBorder="1" applyAlignment="1">
      <alignment horizontal="right" textRotation="90" wrapText="1"/>
    </xf>
    <xf numFmtId="0" fontId="109" fillId="2" borderId="25" xfId="2" applyFont="1" applyFill="1" applyBorder="1" applyAlignment="1">
      <alignment horizontal="center" textRotation="90" wrapText="1"/>
    </xf>
    <xf numFmtId="0" fontId="107" fillId="0" borderId="0" xfId="2" quotePrefix="1" applyFont="1" applyFill="1" applyBorder="1" applyAlignment="1">
      <alignment horizontal="left"/>
    </xf>
    <xf numFmtId="0" fontId="107" fillId="0" borderId="0" xfId="2" applyFont="1" applyFill="1" applyBorder="1" applyAlignment="1">
      <alignment horizontal="left"/>
    </xf>
    <xf numFmtId="0" fontId="140" fillId="0" borderId="0" xfId="2" applyFont="1" applyFill="1" applyBorder="1" applyAlignment="1"/>
    <xf numFmtId="0" fontId="116" fillId="0" borderId="0" xfId="2" applyFont="1" applyFill="1" applyBorder="1" applyAlignment="1">
      <alignment wrapText="1"/>
    </xf>
    <xf numFmtId="165" fontId="116" fillId="0" borderId="0" xfId="2" applyNumberFormat="1" applyFont="1" applyFill="1" applyBorder="1"/>
    <xf numFmtId="0" fontId="109" fillId="2" borderId="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left" vertical="center"/>
    </xf>
    <xf numFmtId="165" fontId="45" fillId="2" borderId="31" xfId="20" applyNumberFormat="1" applyFont="1" applyFill="1" applyBorder="1" applyAlignment="1">
      <alignment horizontal="right" vertical="center"/>
    </xf>
    <xf numFmtId="0" fontId="9" fillId="0" borderId="0" xfId="1539" applyFont="1"/>
    <xf numFmtId="0" fontId="9" fillId="0" borderId="0" xfId="1539"/>
    <xf numFmtId="0" fontId="141" fillId="0" borderId="0" xfId="1539" applyFont="1"/>
    <xf numFmtId="0" fontId="92" fillId="0" borderId="0" xfId="0" applyFont="1" applyFill="1"/>
    <xf numFmtId="0" fontId="92" fillId="0" borderId="0" xfId="1539" applyFont="1"/>
    <xf numFmtId="0" fontId="142" fillId="0" borderId="0" xfId="1539" applyFont="1" applyAlignment="1">
      <alignment horizontal="left"/>
    </xf>
    <xf numFmtId="184" fontId="142" fillId="0" borderId="0" xfId="1539" applyNumberFormat="1" applyFont="1" applyAlignment="1">
      <alignment horizontal="left"/>
    </xf>
    <xf numFmtId="165" fontId="45" fillId="2" borderId="32" xfId="20" applyNumberFormat="1" applyFont="1" applyFill="1" applyBorder="1" applyAlignment="1">
      <alignment horizontal="right" vertical="center"/>
    </xf>
    <xf numFmtId="165" fontId="45" fillId="2" borderId="34" xfId="20" applyNumberFormat="1" applyFont="1" applyFill="1" applyBorder="1" applyAlignment="1">
      <alignment horizontal="right" vertical="center"/>
    </xf>
    <xf numFmtId="165" fontId="45" fillId="2" borderId="25" xfId="20" applyNumberFormat="1" applyFont="1" applyFill="1" applyBorder="1" applyAlignment="1">
      <alignment horizontal="right" vertical="center"/>
    </xf>
    <xf numFmtId="165" fontId="45" fillId="2" borderId="6" xfId="20" applyNumberFormat="1" applyFont="1" applyFill="1" applyBorder="1" applyAlignment="1">
      <alignment horizontal="right" vertical="center"/>
    </xf>
    <xf numFmtId="0" fontId="116" fillId="0" borderId="0" xfId="2" applyFont="1" applyFill="1" applyBorder="1"/>
    <xf numFmtId="165" fontId="45" fillId="2" borderId="26" xfId="20" applyNumberFormat="1" applyFont="1" applyFill="1" applyBorder="1" applyAlignment="1">
      <alignment horizontal="right" vertical="center"/>
    </xf>
    <xf numFmtId="165" fontId="122" fillId="0" borderId="0" xfId="0" applyNumberFormat="1" applyFont="1" applyFill="1"/>
    <xf numFmtId="185" fontId="45" fillId="0" borderId="0" xfId="2" applyNumberFormat="1" applyFont="1" applyFill="1" applyBorder="1"/>
    <xf numFmtId="165" fontId="45" fillId="2" borderId="27" xfId="2" applyNumberFormat="1" applyFont="1" applyFill="1" applyBorder="1" applyAlignment="1">
      <alignment horizontal="right" vertical="center"/>
    </xf>
    <xf numFmtId="165" fontId="45" fillId="2" borderId="2" xfId="2" applyNumberFormat="1" applyFont="1" applyFill="1" applyBorder="1" applyAlignment="1">
      <alignment horizontal="right" vertical="center"/>
    </xf>
    <xf numFmtId="165" fontId="45" fillId="2" borderId="34" xfId="2" applyNumberFormat="1" applyFont="1" applyFill="1" applyBorder="1" applyAlignment="1">
      <alignment horizontal="right" vertical="center"/>
    </xf>
    <xf numFmtId="165" fontId="45" fillId="2" borderId="29" xfId="20" applyNumberFormat="1" applyFont="1" applyFill="1" applyBorder="1" applyAlignment="1">
      <alignment horizontal="right" vertical="center"/>
    </xf>
    <xf numFmtId="165" fontId="45" fillId="2" borderId="27" xfId="20" applyNumberFormat="1" applyFont="1" applyFill="1" applyBorder="1" applyAlignment="1">
      <alignment horizontal="right" vertical="center"/>
    </xf>
    <xf numFmtId="164" fontId="45" fillId="2" borderId="6" xfId="1" applyNumberFormat="1" applyFont="1" applyFill="1" applyBorder="1" applyAlignment="1">
      <alignment vertical="center"/>
    </xf>
    <xf numFmtId="3" fontId="45" fillId="2" borderId="32" xfId="2" applyNumberFormat="1" applyFont="1" applyFill="1" applyBorder="1" applyAlignment="1">
      <alignment horizontal="right" vertical="center"/>
    </xf>
    <xf numFmtId="3" fontId="45" fillId="2" borderId="27" xfId="2" applyNumberFormat="1" applyFont="1" applyFill="1" applyBorder="1" applyAlignment="1">
      <alignment horizontal="right" vertical="center"/>
    </xf>
    <xf numFmtId="3" fontId="45" fillId="2" borderId="6" xfId="2" applyNumberFormat="1" applyFont="1" applyFill="1" applyBorder="1" applyAlignment="1">
      <alignment horizontal="right" vertical="center"/>
    </xf>
    <xf numFmtId="3" fontId="45" fillId="2" borderId="34" xfId="2" applyNumberFormat="1" applyFont="1" applyFill="1" applyBorder="1" applyAlignment="1">
      <alignment horizontal="right" vertical="center"/>
    </xf>
    <xf numFmtId="0" fontId="130" fillId="0" borderId="0" xfId="1535" applyFont="1" applyAlignment="1">
      <alignment horizontal="left" vertical="center" wrapText="1"/>
    </xf>
    <xf numFmtId="0" fontId="132" fillId="0" borderId="0" xfId="1535" applyFont="1" applyAlignment="1">
      <alignment horizontal="left" vertical="center" wrapText="1"/>
    </xf>
    <xf numFmtId="0" fontId="32" fillId="0" borderId="0" xfId="1535" applyFont="1" applyAlignment="1">
      <alignment horizontal="center"/>
    </xf>
    <xf numFmtId="49" fontId="32" fillId="0" borderId="0" xfId="1535" applyNumberFormat="1" applyFont="1" applyAlignment="1">
      <alignment horizontal="center" vertical="center"/>
    </xf>
    <xf numFmtId="49" fontId="33" fillId="0" borderId="0" xfId="1535" applyNumberFormat="1" applyFont="1" applyAlignment="1">
      <alignment horizontal="center" vertical="center"/>
    </xf>
    <xf numFmtId="0" fontId="97" fillId="0" borderId="0" xfId="0" applyFont="1" applyFill="1" applyAlignment="1">
      <alignment horizontal="justify" vertical="top" wrapText="1"/>
    </xf>
    <xf numFmtId="0" fontId="54" fillId="2" borderId="0" xfId="2" applyFont="1" applyFill="1" applyAlignment="1">
      <alignment horizontal="justify" wrapText="1"/>
    </xf>
    <xf numFmtId="3" fontId="92" fillId="0" borderId="0" xfId="2" applyNumberFormat="1" applyFont="1" applyFill="1" applyAlignment="1">
      <alignment horizontal="center"/>
    </xf>
    <xf numFmtId="0" fontId="107" fillId="0" borderId="25" xfId="2" applyFont="1" applyFill="1" applyBorder="1" applyAlignment="1">
      <alignment horizontal="left"/>
    </xf>
    <xf numFmtId="0" fontId="92" fillId="0" borderId="0" xfId="0" applyFont="1" applyBorder="1" applyAlignment="1">
      <alignment horizontal="right"/>
    </xf>
    <xf numFmtId="0" fontId="92" fillId="0" borderId="0" xfId="0" applyFont="1" applyAlignment="1">
      <alignment horizontal="right"/>
    </xf>
    <xf numFmtId="0" fontId="107" fillId="0" borderId="0" xfId="2" applyFont="1" applyFill="1" applyBorder="1" applyAlignment="1">
      <alignment horizontal="left"/>
    </xf>
    <xf numFmtId="0" fontId="54" fillId="2" borderId="0" xfId="2" applyFont="1" applyFill="1" applyAlignment="1">
      <alignment horizontal="justify" vertical="top" wrapText="1"/>
    </xf>
    <xf numFmtId="0" fontId="107" fillId="2" borderId="25" xfId="2" applyFont="1" applyFill="1" applyBorder="1" applyAlignment="1">
      <alignment horizontal="left" wrapText="1"/>
    </xf>
    <xf numFmtId="0" fontId="45" fillId="2" borderId="25" xfId="0" applyFont="1" applyFill="1" applyBorder="1" applyAlignment="1">
      <alignment horizontal="left" vertical="center"/>
    </xf>
    <xf numFmtId="0" fontId="109" fillId="2" borderId="26" xfId="0" applyFont="1" applyFill="1" applyBorder="1" applyAlignment="1">
      <alignment horizontal="center" vertical="center" textRotation="90" wrapText="1"/>
    </xf>
    <xf numFmtId="0" fontId="109" fillId="2" borderId="0" xfId="0" applyFont="1" applyFill="1" applyBorder="1" applyAlignment="1">
      <alignment horizontal="center" vertical="center" textRotation="90" wrapText="1"/>
    </xf>
    <xf numFmtId="0" fontId="109" fillId="2" borderId="25" xfId="0" applyFont="1" applyFill="1" applyBorder="1" applyAlignment="1">
      <alignment horizontal="center" vertical="center" textRotation="90" wrapText="1"/>
    </xf>
    <xf numFmtId="0" fontId="45" fillId="2" borderId="26" xfId="0" applyFont="1" applyFill="1" applyBorder="1" applyAlignment="1">
      <alignment horizontal="left" vertical="top" wrapText="1"/>
    </xf>
    <xf numFmtId="0" fontId="45" fillId="2" borderId="0" xfId="0" applyFont="1" applyFill="1" applyBorder="1" applyAlignment="1">
      <alignment horizontal="left" vertical="top" wrapText="1"/>
    </xf>
    <xf numFmtId="0" fontId="45" fillId="2" borderId="25" xfId="0" applyFont="1" applyFill="1" applyBorder="1" applyAlignment="1">
      <alignment horizontal="left" vertical="top" wrapText="1"/>
    </xf>
    <xf numFmtId="0" fontId="45" fillId="2" borderId="6" xfId="0" applyFont="1" applyFill="1" applyBorder="1" applyAlignment="1">
      <alignment horizontal="left" vertical="center" wrapText="1"/>
    </xf>
    <xf numFmtId="0" fontId="103" fillId="0" borderId="0" xfId="0" applyFont="1" applyFill="1" applyAlignment="1">
      <alignment horizontal="justify" vertical="top" wrapText="1"/>
    </xf>
    <xf numFmtId="0" fontId="140" fillId="0" borderId="0" xfId="0" applyFont="1" applyFill="1" applyBorder="1" applyAlignment="1">
      <alignment horizontal="left"/>
    </xf>
    <xf numFmtId="1" fontId="93" fillId="0" borderId="0" xfId="0" applyNumberFormat="1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0" fontId="109" fillId="2" borderId="28" xfId="0" applyFont="1" applyFill="1" applyBorder="1" applyAlignment="1">
      <alignment horizontal="left" vertical="center"/>
    </xf>
    <xf numFmtId="0" fontId="109" fillId="2" borderId="26" xfId="0" applyFont="1" applyFill="1" applyBorder="1" applyAlignment="1">
      <alignment horizontal="left" vertical="center"/>
    </xf>
    <xf numFmtId="0" fontId="109" fillId="2" borderId="31" xfId="0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top"/>
    </xf>
    <xf numFmtId="0" fontId="45" fillId="2" borderId="25" xfId="0" applyFont="1" applyFill="1" applyBorder="1" applyAlignment="1">
      <alignment horizontal="left" vertical="top"/>
    </xf>
    <xf numFmtId="0" fontId="45" fillId="2" borderId="26" xfId="0" applyFont="1" applyFill="1" applyBorder="1" applyAlignment="1">
      <alignment horizontal="left" vertical="top"/>
    </xf>
    <xf numFmtId="0" fontId="109" fillId="2" borderId="27" xfId="2" applyFont="1" applyFill="1" applyBorder="1" applyAlignment="1">
      <alignment horizontal="left" vertical="top" wrapText="1"/>
    </xf>
    <xf numFmtId="0" fontId="109" fillId="2" borderId="6" xfId="2" applyFont="1" applyFill="1" applyBorder="1" applyAlignment="1">
      <alignment horizontal="left" vertical="top" wrapText="1"/>
    </xf>
    <xf numFmtId="0" fontId="105" fillId="0" borderId="0" xfId="2" applyFont="1" applyFill="1" applyBorder="1" applyAlignment="1">
      <alignment horizontal="left" wrapText="1"/>
    </xf>
    <xf numFmtId="1" fontId="93" fillId="0" borderId="0" xfId="2" applyNumberFormat="1" applyFont="1" applyFill="1" applyBorder="1" applyAlignment="1">
      <alignment horizontal="center" vertical="center" wrapText="1"/>
    </xf>
    <xf numFmtId="0" fontId="93" fillId="0" borderId="0" xfId="2" applyFont="1" applyFill="1" applyBorder="1" applyAlignment="1">
      <alignment horizontal="center" vertical="center" wrapText="1"/>
    </xf>
    <xf numFmtId="0" fontId="140" fillId="0" borderId="0" xfId="2" applyFont="1" applyFill="1" applyBorder="1" applyAlignment="1">
      <alignment horizontal="left"/>
    </xf>
    <xf numFmtId="0" fontId="109" fillId="2" borderId="34" xfId="2" applyFont="1" applyFill="1" applyBorder="1" applyAlignment="1">
      <alignment horizontal="left" vertical="top" wrapText="1"/>
    </xf>
    <xf numFmtId="0" fontId="109" fillId="2" borderId="0" xfId="2" applyFont="1" applyFill="1" applyBorder="1" applyAlignment="1">
      <alignment horizontal="left" vertical="top" wrapText="1"/>
    </xf>
    <xf numFmtId="0" fontId="109" fillId="2" borderId="25" xfId="2" applyFont="1" applyFill="1" applyBorder="1" applyAlignment="1">
      <alignment horizontal="left" vertical="top" wrapText="1"/>
    </xf>
    <xf numFmtId="0" fontId="109" fillId="2" borderId="33" xfId="2" applyFont="1" applyFill="1" applyBorder="1" applyAlignment="1">
      <alignment horizontal="left" vertical="top" wrapText="1"/>
    </xf>
    <xf numFmtId="0" fontId="109" fillId="2" borderId="32" xfId="2" applyFont="1" applyFill="1" applyBorder="1" applyAlignment="1">
      <alignment horizontal="left" vertical="top" wrapText="1"/>
    </xf>
    <xf numFmtId="0" fontId="109" fillId="2" borderId="27" xfId="2" applyFont="1" applyFill="1" applyBorder="1" applyAlignment="1">
      <alignment horizontal="left" vertical="center" wrapText="1"/>
    </xf>
    <xf numFmtId="0" fontId="109" fillId="2" borderId="2" xfId="2" applyFont="1" applyFill="1" applyBorder="1" applyAlignment="1">
      <alignment horizontal="left" vertical="center" wrapText="1"/>
    </xf>
    <xf numFmtId="0" fontId="109" fillId="2" borderId="34" xfId="2" applyFont="1" applyFill="1" applyBorder="1" applyAlignment="1">
      <alignment horizontal="left" vertical="center" wrapText="1"/>
    </xf>
    <xf numFmtId="0" fontId="109" fillId="2" borderId="6" xfId="2" applyFont="1" applyFill="1" applyBorder="1" applyAlignment="1">
      <alignment horizontal="left" vertical="center" wrapText="1"/>
    </xf>
    <xf numFmtId="0" fontId="109" fillId="2" borderId="29" xfId="2" applyFont="1" applyFill="1" applyBorder="1" applyAlignment="1">
      <alignment horizontal="left" vertical="top" wrapText="1"/>
    </xf>
    <xf numFmtId="0" fontId="105" fillId="0" borderId="0" xfId="2" applyFont="1" applyFill="1" applyBorder="1" applyAlignment="1">
      <alignment horizontal="left"/>
    </xf>
    <xf numFmtId="0" fontId="117" fillId="0" borderId="0" xfId="2" applyFont="1" applyFill="1" applyBorder="1" applyAlignment="1">
      <alignment horizontal="right" vertical="center" wrapText="1"/>
    </xf>
    <xf numFmtId="1" fontId="45" fillId="0" borderId="0" xfId="2" applyNumberFormat="1" applyFont="1" applyFill="1" applyBorder="1" applyAlignment="1">
      <alignment horizontal="center" vertical="center"/>
    </xf>
    <xf numFmtId="1" fontId="93" fillId="0" borderId="25" xfId="2" applyNumberFormat="1" applyFont="1" applyFill="1" applyBorder="1" applyAlignment="1">
      <alignment horizontal="center" wrapText="1"/>
    </xf>
    <xf numFmtId="0" fontId="93" fillId="0" borderId="25" xfId="2" applyFont="1" applyFill="1" applyBorder="1" applyAlignment="1">
      <alignment horizontal="center" wrapText="1"/>
    </xf>
    <xf numFmtId="1" fontId="109" fillId="2" borderId="26" xfId="2" applyNumberFormat="1" applyFont="1" applyFill="1" applyBorder="1" applyAlignment="1">
      <alignment horizontal="right" wrapText="1"/>
    </xf>
    <xf numFmtId="1" fontId="109" fillId="2" borderId="25" xfId="2" applyNumberFormat="1" applyFont="1" applyFill="1" applyBorder="1" applyAlignment="1">
      <alignment horizontal="right" wrapText="1"/>
    </xf>
    <xf numFmtId="0" fontId="127" fillId="0" borderId="28" xfId="0" applyFont="1" applyFill="1" applyBorder="1" applyAlignment="1">
      <alignment horizontal="left"/>
    </xf>
    <xf numFmtId="0" fontId="127" fillId="0" borderId="26" xfId="0" applyFont="1" applyFill="1" applyBorder="1" applyAlignment="1">
      <alignment horizontal="left"/>
    </xf>
    <xf numFmtId="0" fontId="127" fillId="0" borderId="31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 vertical="center" wrapText="1"/>
    </xf>
    <xf numFmtId="0" fontId="109" fillId="2" borderId="6" xfId="0" applyFont="1" applyFill="1" applyBorder="1" applyAlignment="1">
      <alignment horizontal="left" vertical="center"/>
    </xf>
    <xf numFmtId="0" fontId="109" fillId="2" borderId="27" xfId="0" applyFont="1" applyFill="1" applyBorder="1" applyAlignment="1">
      <alignment horizontal="left" vertical="center"/>
    </xf>
    <xf numFmtId="0" fontId="109" fillId="2" borderId="34" xfId="0" applyFont="1" applyFill="1" applyBorder="1" applyAlignment="1">
      <alignment horizontal="left" vertical="center"/>
    </xf>
    <xf numFmtId="0" fontId="109" fillId="2" borderId="29" xfId="0" applyFont="1" applyFill="1" applyBorder="1" applyAlignment="1">
      <alignment horizontal="right" wrapText="1"/>
    </xf>
    <xf numFmtId="0" fontId="109" fillId="2" borderId="25" xfId="0" applyFont="1" applyFill="1" applyBorder="1" applyAlignment="1">
      <alignment horizontal="right" wrapText="1"/>
    </xf>
    <xf numFmtId="0" fontId="105" fillId="0" borderId="0" xfId="0" applyFont="1" applyFill="1" applyBorder="1" applyAlignment="1">
      <alignment horizontal="left"/>
    </xf>
    <xf numFmtId="1" fontId="105" fillId="0" borderId="0" xfId="0" applyNumberFormat="1" applyFont="1" applyFill="1" applyBorder="1" applyAlignment="1">
      <alignment horizontal="left" vertical="top"/>
    </xf>
    <xf numFmtId="0" fontId="105" fillId="0" borderId="0" xfId="0" applyFont="1" applyFill="1" applyBorder="1" applyAlignment="1">
      <alignment horizontal="left" vertical="top"/>
    </xf>
    <xf numFmtId="0" fontId="105" fillId="0" borderId="0" xfId="0" applyFont="1" applyFill="1" applyBorder="1" applyAlignment="1">
      <alignment horizontal="left" vertical="center"/>
    </xf>
    <xf numFmtId="0" fontId="45" fillId="2" borderId="26" xfId="0" applyFont="1" applyFill="1" applyBorder="1" applyAlignment="1">
      <alignment vertical="top" wrapText="1"/>
    </xf>
    <xf numFmtId="0" fontId="45" fillId="2" borderId="0" xfId="0" applyFont="1" applyFill="1" applyBorder="1" applyAlignment="1">
      <alignment vertical="top" wrapText="1"/>
    </xf>
    <xf numFmtId="0" fontId="45" fillId="2" borderId="25" xfId="0" applyFont="1" applyFill="1" applyBorder="1" applyAlignment="1">
      <alignment vertical="top" wrapText="1"/>
    </xf>
    <xf numFmtId="1" fontId="45" fillId="2" borderId="26" xfId="0" applyNumberFormat="1" applyFont="1" applyFill="1" applyBorder="1" applyAlignment="1">
      <alignment vertical="top" wrapText="1"/>
    </xf>
    <xf numFmtId="0" fontId="105" fillId="0" borderId="0" xfId="0" applyFont="1" applyFill="1" applyBorder="1" applyAlignment="1">
      <alignment horizontal="left" wrapText="1"/>
    </xf>
    <xf numFmtId="1" fontId="112" fillId="0" borderId="25" xfId="0" applyNumberFormat="1" applyFont="1" applyFill="1" applyBorder="1" applyAlignment="1">
      <alignment horizontal="left" vertical="center"/>
    </xf>
    <xf numFmtId="0" fontId="109" fillId="2" borderId="3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left" vertical="top" wrapText="1"/>
    </xf>
    <xf numFmtId="0" fontId="109" fillId="2" borderId="0" xfId="0" applyFont="1" applyFill="1" applyBorder="1" applyAlignment="1">
      <alignment horizontal="center" vertical="top" wrapText="1"/>
    </xf>
    <xf numFmtId="0" fontId="109" fillId="2" borderId="0" xfId="0" applyFont="1" applyFill="1" applyBorder="1" applyAlignment="1">
      <alignment horizontal="right" wrapText="1"/>
    </xf>
    <xf numFmtId="1" fontId="109" fillId="2" borderId="28" xfId="0" applyNumberFormat="1" applyFont="1" applyFill="1" applyBorder="1" applyAlignment="1">
      <alignment horizontal="left" vertical="top"/>
    </xf>
    <xf numFmtId="1" fontId="109" fillId="2" borderId="26" xfId="0" applyNumberFormat="1" applyFont="1" applyFill="1" applyBorder="1" applyAlignment="1">
      <alignment horizontal="left" vertical="top"/>
    </xf>
    <xf numFmtId="1" fontId="109" fillId="2" borderId="29" xfId="0" applyNumberFormat="1" applyFont="1" applyFill="1" applyBorder="1" applyAlignment="1">
      <alignment horizontal="left" vertical="top"/>
    </xf>
    <xf numFmtId="1" fontId="109" fillId="2" borderId="25" xfId="0" applyNumberFormat="1" applyFont="1" applyFill="1" applyBorder="1" applyAlignment="1">
      <alignment horizontal="left" vertical="top"/>
    </xf>
    <xf numFmtId="0" fontId="109" fillId="2" borderId="28" xfId="0" applyFont="1" applyFill="1" applyBorder="1" applyAlignment="1">
      <alignment horizontal="left" vertical="top" wrapText="1"/>
    </xf>
    <xf numFmtId="0" fontId="109" fillId="2" borderId="29" xfId="0" applyFont="1" applyFill="1" applyBorder="1" applyAlignment="1">
      <alignment horizontal="left" vertical="top" wrapText="1"/>
    </xf>
    <xf numFmtId="0" fontId="109" fillId="2" borderId="26" xfId="0" applyFont="1" applyFill="1" applyBorder="1" applyAlignment="1">
      <alignment horizontal="left" vertical="top" wrapText="1"/>
    </xf>
    <xf numFmtId="0" fontId="109" fillId="2" borderId="25" xfId="0" applyFont="1" applyFill="1" applyBorder="1" applyAlignment="1">
      <alignment horizontal="left" vertical="top" wrapText="1"/>
    </xf>
    <xf numFmtId="0" fontId="109" fillId="2" borderId="31" xfId="0" applyFont="1" applyFill="1" applyBorder="1" applyAlignment="1">
      <alignment horizontal="left" vertical="top" wrapText="1"/>
    </xf>
    <xf numFmtId="0" fontId="109" fillId="2" borderId="32" xfId="0" applyFont="1" applyFill="1" applyBorder="1" applyAlignment="1">
      <alignment horizontal="left" vertical="top" wrapText="1"/>
    </xf>
    <xf numFmtId="1" fontId="45" fillId="2" borderId="26" xfId="0" applyNumberFormat="1" applyFont="1" applyFill="1" applyBorder="1" applyAlignment="1">
      <alignment horizontal="left" vertical="top" wrapText="1"/>
    </xf>
    <xf numFmtId="1" fontId="45" fillId="2" borderId="0" xfId="0" applyNumberFormat="1" applyFont="1" applyFill="1" applyBorder="1" applyAlignment="1">
      <alignment horizontal="left" vertical="top" wrapText="1"/>
    </xf>
    <xf numFmtId="1" fontId="45" fillId="2" borderId="25" xfId="0" applyNumberFormat="1" applyFont="1" applyFill="1" applyBorder="1" applyAlignment="1">
      <alignment horizontal="left" vertical="top" wrapText="1"/>
    </xf>
    <xf numFmtId="0" fontId="45" fillId="0" borderId="0" xfId="0" applyFont="1" applyFill="1" applyBorder="1" applyAlignment="1">
      <alignment horizontal="justify" vertical="top" wrapText="1"/>
    </xf>
    <xf numFmtId="0" fontId="140" fillId="0" borderId="0" xfId="0" applyFont="1" applyFill="1" applyBorder="1" applyAlignment="1">
      <alignment horizontal="left" wrapText="1"/>
    </xf>
    <xf numFmtId="0" fontId="109" fillId="2" borderId="27" xfId="0" applyFont="1" applyFill="1" applyBorder="1" applyAlignment="1">
      <alignment horizontal="left" vertical="center" wrapText="1"/>
    </xf>
    <xf numFmtId="0" fontId="109" fillId="2" borderId="6" xfId="0" applyFont="1" applyFill="1" applyBorder="1" applyAlignment="1">
      <alignment horizontal="left" vertical="center" wrapText="1"/>
    </xf>
    <xf numFmtId="0" fontId="109" fillId="2" borderId="34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left" vertical="center"/>
    </xf>
    <xf numFmtId="0" fontId="109" fillId="2" borderId="33" xfId="0" applyFont="1" applyFill="1" applyBorder="1" applyAlignment="1">
      <alignment horizontal="right" wrapText="1"/>
    </xf>
    <xf numFmtId="0" fontId="109" fillId="2" borderId="32" xfId="0" applyFont="1" applyFill="1" applyBorder="1" applyAlignment="1">
      <alignment horizontal="right" wrapText="1"/>
    </xf>
    <xf numFmtId="0" fontId="107" fillId="2" borderId="25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top" wrapText="1"/>
    </xf>
    <xf numFmtId="0" fontId="105" fillId="0" borderId="0" xfId="0" applyFont="1" applyFill="1" applyBorder="1" applyAlignment="1">
      <alignment horizontal="center" vertical="top"/>
    </xf>
    <xf numFmtId="0" fontId="105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left" vertical="center"/>
    </xf>
    <xf numFmtId="0" fontId="105" fillId="0" borderId="0" xfId="0" applyFont="1" applyFill="1" applyBorder="1" applyAlignment="1">
      <alignment horizontal="left" vertical="top" wrapText="1"/>
    </xf>
    <xf numFmtId="1" fontId="105" fillId="0" borderId="0" xfId="0" applyNumberFormat="1" applyFont="1" applyFill="1" applyBorder="1" applyAlignment="1">
      <alignment horizontal="center" vertical="top" wrapText="1"/>
    </xf>
    <xf numFmtId="1" fontId="105" fillId="0" borderId="0" xfId="0" applyNumberFormat="1" applyFont="1" applyFill="1" applyBorder="1" applyAlignment="1">
      <alignment horizontal="center" vertical="top"/>
    </xf>
    <xf numFmtId="0" fontId="109" fillId="2" borderId="26" xfId="0" applyFont="1" applyFill="1" applyBorder="1" applyAlignment="1">
      <alignment horizontal="right" wrapText="1"/>
    </xf>
    <xf numFmtId="0" fontId="109" fillId="2" borderId="31" xfId="0" applyFont="1" applyFill="1" applyBorder="1" applyAlignment="1">
      <alignment horizontal="right" wrapText="1"/>
    </xf>
    <xf numFmtId="0" fontId="105" fillId="0" borderId="0" xfId="0" applyFont="1" applyAlignment="1">
      <alignment horizontal="left" vertical="center" readingOrder="1"/>
    </xf>
    <xf numFmtId="1" fontId="112" fillId="0" borderId="0" xfId="2" applyNumberFormat="1" applyFont="1" applyFill="1" applyBorder="1" applyAlignment="1">
      <alignment horizontal="left" vertical="top" wrapText="1"/>
    </xf>
    <xf numFmtId="0" fontId="112" fillId="0" borderId="0" xfId="2" applyFont="1" applyFill="1" applyBorder="1" applyAlignment="1">
      <alignment horizontal="left" vertical="top" wrapText="1"/>
    </xf>
    <xf numFmtId="1" fontId="112" fillId="0" borderId="0" xfId="0" applyNumberFormat="1" applyFont="1" applyFill="1" applyBorder="1" applyAlignment="1">
      <alignment horizontal="left" vertical="center"/>
    </xf>
    <xf numFmtId="0" fontId="109" fillId="2" borderId="0" xfId="0" applyFont="1" applyFill="1" applyBorder="1" applyAlignment="1">
      <alignment horizontal="left" vertical="center"/>
    </xf>
    <xf numFmtId="0" fontId="109" fillId="2" borderId="25" xfId="0" applyFont="1" applyFill="1" applyBorder="1" applyAlignment="1">
      <alignment horizontal="left" vertical="center" wrapText="1"/>
    </xf>
    <xf numFmtId="0" fontId="109" fillId="2" borderId="28" xfId="0" applyFont="1" applyFill="1" applyBorder="1" applyAlignment="1">
      <alignment horizontal="left" vertical="center" wrapText="1"/>
    </xf>
    <xf numFmtId="0" fontId="109" fillId="2" borderId="26" xfId="0" applyFont="1" applyFill="1" applyBorder="1" applyAlignment="1">
      <alignment horizontal="left" vertical="center" wrapText="1"/>
    </xf>
    <xf numFmtId="0" fontId="109" fillId="2" borderId="31" xfId="0" applyFont="1" applyFill="1" applyBorder="1" applyAlignment="1">
      <alignment horizontal="left" vertical="center" wrapText="1"/>
    </xf>
    <xf numFmtId="0" fontId="109" fillId="2" borderId="0" xfId="0" applyFont="1" applyFill="1" applyBorder="1" applyAlignment="1">
      <alignment horizontal="left" vertical="center" wrapText="1"/>
    </xf>
    <xf numFmtId="1" fontId="109" fillId="2" borderId="6" xfId="0" applyNumberFormat="1" applyFont="1" applyFill="1" applyBorder="1" applyAlignment="1">
      <alignment horizontal="left" vertical="center"/>
    </xf>
    <xf numFmtId="0" fontId="105" fillId="0" borderId="0" xfId="2" applyFont="1" applyFill="1" applyAlignment="1">
      <alignment horizontal="left"/>
    </xf>
    <xf numFmtId="0" fontId="45" fillId="0" borderId="0" xfId="2" applyFont="1" applyFill="1" applyBorder="1" applyAlignment="1">
      <alignment horizontal="left"/>
    </xf>
    <xf numFmtId="0" fontId="45" fillId="0" borderId="0" xfId="2" applyFont="1" applyFill="1" applyBorder="1" applyAlignment="1">
      <alignment horizontal="left" vertical="top" wrapText="1"/>
    </xf>
  </cellXfs>
  <cellStyles count="1540">
    <cellStyle name="$l0 %" xfId="88" xr:uid="{00000000-0005-0000-0000-000000000000}"/>
    <cellStyle name="$l0 % 2" xfId="89" xr:uid="{00000000-0005-0000-0000-000001000000}"/>
    <cellStyle name="$l0 % 2 2" xfId="90" xr:uid="{00000000-0005-0000-0000-000002000000}"/>
    <cellStyle name="$l0 % 2 3" xfId="91" xr:uid="{00000000-0005-0000-0000-000003000000}"/>
    <cellStyle name="$l0 % 2 4" xfId="92" xr:uid="{00000000-0005-0000-0000-000004000000}"/>
    <cellStyle name="$l0 % 2 5" xfId="93" xr:uid="{00000000-0005-0000-0000-000005000000}"/>
    <cellStyle name="$l0 % 2 6" xfId="94" xr:uid="{00000000-0005-0000-0000-000006000000}"/>
    <cellStyle name="$l0 % 2 7" xfId="95" xr:uid="{00000000-0005-0000-0000-000007000000}"/>
    <cellStyle name="$l0 % 3" xfId="96" xr:uid="{00000000-0005-0000-0000-000008000000}"/>
    <cellStyle name="$l0 % 3 2" xfId="97" xr:uid="{00000000-0005-0000-0000-000009000000}"/>
    <cellStyle name="$l0 % 3 3" xfId="98" xr:uid="{00000000-0005-0000-0000-00000A000000}"/>
    <cellStyle name="$l0 % 3 4" xfId="99" xr:uid="{00000000-0005-0000-0000-00000B000000}"/>
    <cellStyle name="$l0 % 3 5" xfId="100" xr:uid="{00000000-0005-0000-0000-00000C000000}"/>
    <cellStyle name="$l0 % 3 6" xfId="101" xr:uid="{00000000-0005-0000-0000-00000D000000}"/>
    <cellStyle name="$l0 % 3 7" xfId="102" xr:uid="{00000000-0005-0000-0000-00000E000000}"/>
    <cellStyle name="$l0 % 4" xfId="103" xr:uid="{00000000-0005-0000-0000-00000F000000}"/>
    <cellStyle name="$l0 % 5" xfId="104" xr:uid="{00000000-0005-0000-0000-000010000000}"/>
    <cellStyle name="$l0 % 6" xfId="105" xr:uid="{00000000-0005-0000-0000-000011000000}"/>
    <cellStyle name="$l0 % 7" xfId="106" xr:uid="{00000000-0005-0000-0000-000012000000}"/>
    <cellStyle name="$l0 % 8" xfId="107" xr:uid="{00000000-0005-0000-0000-000013000000}"/>
    <cellStyle name="$l0 % 9" xfId="108" xr:uid="{00000000-0005-0000-0000-000014000000}"/>
    <cellStyle name="$l0 Dec" xfId="109" xr:uid="{00000000-0005-0000-0000-000015000000}"/>
    <cellStyle name="$l0 Dec 2" xfId="110" xr:uid="{00000000-0005-0000-0000-000016000000}"/>
    <cellStyle name="$l0 Dec 2 2" xfId="111" xr:uid="{00000000-0005-0000-0000-000017000000}"/>
    <cellStyle name="$l0 Dec 2 3" xfId="112" xr:uid="{00000000-0005-0000-0000-000018000000}"/>
    <cellStyle name="$l0 Dec 2 4" xfId="113" xr:uid="{00000000-0005-0000-0000-000019000000}"/>
    <cellStyle name="$l0 Dec 2 5" xfId="114" xr:uid="{00000000-0005-0000-0000-00001A000000}"/>
    <cellStyle name="$l0 Dec 2 6" xfId="115" xr:uid="{00000000-0005-0000-0000-00001B000000}"/>
    <cellStyle name="$l0 Dec 2 7" xfId="116" xr:uid="{00000000-0005-0000-0000-00001C000000}"/>
    <cellStyle name="$l0 Dec 3" xfId="117" xr:uid="{00000000-0005-0000-0000-00001D000000}"/>
    <cellStyle name="$l0 Dec 3 2" xfId="118" xr:uid="{00000000-0005-0000-0000-00001E000000}"/>
    <cellStyle name="$l0 Dec 3 3" xfId="119" xr:uid="{00000000-0005-0000-0000-00001F000000}"/>
    <cellStyle name="$l0 Dec 3 4" xfId="120" xr:uid="{00000000-0005-0000-0000-000020000000}"/>
    <cellStyle name="$l0 Dec 3 5" xfId="121" xr:uid="{00000000-0005-0000-0000-000021000000}"/>
    <cellStyle name="$l0 Dec 3 6" xfId="122" xr:uid="{00000000-0005-0000-0000-000022000000}"/>
    <cellStyle name="$l0 Dec 3 7" xfId="123" xr:uid="{00000000-0005-0000-0000-000023000000}"/>
    <cellStyle name="$l0 Dec 4" xfId="124" xr:uid="{00000000-0005-0000-0000-000024000000}"/>
    <cellStyle name="$l0 Dec 5" xfId="125" xr:uid="{00000000-0005-0000-0000-000025000000}"/>
    <cellStyle name="$l0 Dec 6" xfId="126" xr:uid="{00000000-0005-0000-0000-000026000000}"/>
    <cellStyle name="$l0 Dec 7" xfId="127" xr:uid="{00000000-0005-0000-0000-000027000000}"/>
    <cellStyle name="$l0 Dec 8" xfId="128" xr:uid="{00000000-0005-0000-0000-000028000000}"/>
    <cellStyle name="$l0 Dec 9" xfId="129" xr:uid="{00000000-0005-0000-0000-000029000000}"/>
    <cellStyle name="$l0 No" xfId="130" xr:uid="{00000000-0005-0000-0000-00002A000000}"/>
    <cellStyle name="$l0 No 2" xfId="131" xr:uid="{00000000-0005-0000-0000-00002B000000}"/>
    <cellStyle name="$l0 No 2 2" xfId="132" xr:uid="{00000000-0005-0000-0000-00002C000000}"/>
    <cellStyle name="$l0 No 2 3" xfId="133" xr:uid="{00000000-0005-0000-0000-00002D000000}"/>
    <cellStyle name="$l0 No 2 4" xfId="134" xr:uid="{00000000-0005-0000-0000-00002E000000}"/>
    <cellStyle name="$l0 No 2 5" xfId="135" xr:uid="{00000000-0005-0000-0000-00002F000000}"/>
    <cellStyle name="$l0 No 2 6" xfId="136" xr:uid="{00000000-0005-0000-0000-000030000000}"/>
    <cellStyle name="$l0 No 2 7" xfId="137" xr:uid="{00000000-0005-0000-0000-000031000000}"/>
    <cellStyle name="$l0 No 3" xfId="138" xr:uid="{00000000-0005-0000-0000-000032000000}"/>
    <cellStyle name="$l0 No 3 2" xfId="139" xr:uid="{00000000-0005-0000-0000-000033000000}"/>
    <cellStyle name="$l0 No 3 3" xfId="140" xr:uid="{00000000-0005-0000-0000-000034000000}"/>
    <cellStyle name="$l0 No 3 4" xfId="141" xr:uid="{00000000-0005-0000-0000-000035000000}"/>
    <cellStyle name="$l0 No 3 5" xfId="142" xr:uid="{00000000-0005-0000-0000-000036000000}"/>
    <cellStyle name="$l0 No 3 6" xfId="143" xr:uid="{00000000-0005-0000-0000-000037000000}"/>
    <cellStyle name="$l0 No 3 7" xfId="144" xr:uid="{00000000-0005-0000-0000-000038000000}"/>
    <cellStyle name="$l0 No 4" xfId="145" xr:uid="{00000000-0005-0000-0000-000039000000}"/>
    <cellStyle name="$l0 No 5" xfId="146" xr:uid="{00000000-0005-0000-0000-00003A000000}"/>
    <cellStyle name="$l0 No 6" xfId="147" xr:uid="{00000000-0005-0000-0000-00003B000000}"/>
    <cellStyle name="$l0 No 7" xfId="148" xr:uid="{00000000-0005-0000-0000-00003C000000}"/>
    <cellStyle name="$l0 No 8" xfId="149" xr:uid="{00000000-0005-0000-0000-00003D000000}"/>
    <cellStyle name="$l0 No 9" xfId="150" xr:uid="{00000000-0005-0000-0000-00003E000000}"/>
    <cellStyle name="$l0 Row" xfId="151" xr:uid="{00000000-0005-0000-0000-00003F000000}"/>
    <cellStyle name="$l1 %" xfId="152" xr:uid="{00000000-0005-0000-0000-000040000000}"/>
    <cellStyle name="$l1 % 2" xfId="153" xr:uid="{00000000-0005-0000-0000-000041000000}"/>
    <cellStyle name="$l1 % 2 2" xfId="154" xr:uid="{00000000-0005-0000-0000-000042000000}"/>
    <cellStyle name="$l1 % 2 3" xfId="155" xr:uid="{00000000-0005-0000-0000-000043000000}"/>
    <cellStyle name="$l1 % 2 4" xfId="156" xr:uid="{00000000-0005-0000-0000-000044000000}"/>
    <cellStyle name="$l1 % 2 5" xfId="157" xr:uid="{00000000-0005-0000-0000-000045000000}"/>
    <cellStyle name="$l1 % 2 6" xfId="158" xr:uid="{00000000-0005-0000-0000-000046000000}"/>
    <cellStyle name="$l1 % 2 7" xfId="159" xr:uid="{00000000-0005-0000-0000-000047000000}"/>
    <cellStyle name="$l1 % 3" xfId="160" xr:uid="{00000000-0005-0000-0000-000048000000}"/>
    <cellStyle name="$l1 % 3 2" xfId="161" xr:uid="{00000000-0005-0000-0000-000049000000}"/>
    <cellStyle name="$l1 % 3 3" xfId="162" xr:uid="{00000000-0005-0000-0000-00004A000000}"/>
    <cellStyle name="$l1 % 3 4" xfId="163" xr:uid="{00000000-0005-0000-0000-00004B000000}"/>
    <cellStyle name="$l1 % 3 5" xfId="164" xr:uid="{00000000-0005-0000-0000-00004C000000}"/>
    <cellStyle name="$l1 % 3 6" xfId="165" xr:uid="{00000000-0005-0000-0000-00004D000000}"/>
    <cellStyle name="$l1 % 3 7" xfId="166" xr:uid="{00000000-0005-0000-0000-00004E000000}"/>
    <cellStyle name="$l1 % 4" xfId="167" xr:uid="{00000000-0005-0000-0000-00004F000000}"/>
    <cellStyle name="$l1 % 5" xfId="168" xr:uid="{00000000-0005-0000-0000-000050000000}"/>
    <cellStyle name="$l1 % 6" xfId="169" xr:uid="{00000000-0005-0000-0000-000051000000}"/>
    <cellStyle name="$l1 % 7" xfId="170" xr:uid="{00000000-0005-0000-0000-000052000000}"/>
    <cellStyle name="$l1 % 8" xfId="171" xr:uid="{00000000-0005-0000-0000-000053000000}"/>
    <cellStyle name="$l1 % 9" xfId="172" xr:uid="{00000000-0005-0000-0000-000054000000}"/>
    <cellStyle name="$l1 No" xfId="173" xr:uid="{00000000-0005-0000-0000-000055000000}"/>
    <cellStyle name="$l1 No 2" xfId="174" xr:uid="{00000000-0005-0000-0000-000056000000}"/>
    <cellStyle name="$l1 No 2 2" xfId="175" xr:uid="{00000000-0005-0000-0000-000057000000}"/>
    <cellStyle name="$l1 No 2 3" xfId="176" xr:uid="{00000000-0005-0000-0000-000058000000}"/>
    <cellStyle name="$l1 No 2 4" xfId="177" xr:uid="{00000000-0005-0000-0000-000059000000}"/>
    <cellStyle name="$l1 No 2 5" xfId="178" xr:uid="{00000000-0005-0000-0000-00005A000000}"/>
    <cellStyle name="$l1 No 2 6" xfId="179" xr:uid="{00000000-0005-0000-0000-00005B000000}"/>
    <cellStyle name="$l1 No 2 7" xfId="180" xr:uid="{00000000-0005-0000-0000-00005C000000}"/>
    <cellStyle name="$l1 No 3" xfId="181" xr:uid="{00000000-0005-0000-0000-00005D000000}"/>
    <cellStyle name="$l1 No 3 2" xfId="182" xr:uid="{00000000-0005-0000-0000-00005E000000}"/>
    <cellStyle name="$l1 No 3 3" xfId="183" xr:uid="{00000000-0005-0000-0000-00005F000000}"/>
    <cellStyle name="$l1 No 3 4" xfId="184" xr:uid="{00000000-0005-0000-0000-000060000000}"/>
    <cellStyle name="$l1 No 3 5" xfId="185" xr:uid="{00000000-0005-0000-0000-000061000000}"/>
    <cellStyle name="$l1 No 3 6" xfId="186" xr:uid="{00000000-0005-0000-0000-000062000000}"/>
    <cellStyle name="$l1 No 3 7" xfId="187" xr:uid="{00000000-0005-0000-0000-000063000000}"/>
    <cellStyle name="$l1 No 4" xfId="188" xr:uid="{00000000-0005-0000-0000-000064000000}"/>
    <cellStyle name="$l1 No 5" xfId="189" xr:uid="{00000000-0005-0000-0000-000065000000}"/>
    <cellStyle name="$l1 No 6" xfId="190" xr:uid="{00000000-0005-0000-0000-000066000000}"/>
    <cellStyle name="$l1 No 7" xfId="191" xr:uid="{00000000-0005-0000-0000-000067000000}"/>
    <cellStyle name="$l1 No 8" xfId="192" xr:uid="{00000000-0005-0000-0000-000068000000}"/>
    <cellStyle name="$l1 No 9" xfId="193" xr:uid="{00000000-0005-0000-0000-000069000000}"/>
    <cellStyle name="$l1 Row" xfId="194" xr:uid="{00000000-0005-0000-0000-00006A000000}"/>
    <cellStyle name="$l2 %" xfId="195" xr:uid="{00000000-0005-0000-0000-00006B000000}"/>
    <cellStyle name="$l2 % 2" xfId="196" xr:uid="{00000000-0005-0000-0000-00006C000000}"/>
    <cellStyle name="$l2 % 2 2" xfId="197" xr:uid="{00000000-0005-0000-0000-00006D000000}"/>
    <cellStyle name="$l2 % 2 3" xfId="198" xr:uid="{00000000-0005-0000-0000-00006E000000}"/>
    <cellStyle name="$l2 % 2 4" xfId="199" xr:uid="{00000000-0005-0000-0000-00006F000000}"/>
    <cellStyle name="$l2 % 2 5" xfId="200" xr:uid="{00000000-0005-0000-0000-000070000000}"/>
    <cellStyle name="$l2 % 2 6" xfId="201" xr:uid="{00000000-0005-0000-0000-000071000000}"/>
    <cellStyle name="$l2 % 2 7" xfId="202" xr:uid="{00000000-0005-0000-0000-000072000000}"/>
    <cellStyle name="$l2 % 3" xfId="203" xr:uid="{00000000-0005-0000-0000-000073000000}"/>
    <cellStyle name="$l2 % 3 2" xfId="204" xr:uid="{00000000-0005-0000-0000-000074000000}"/>
    <cellStyle name="$l2 % 3 3" xfId="205" xr:uid="{00000000-0005-0000-0000-000075000000}"/>
    <cellStyle name="$l2 % 3 4" xfId="206" xr:uid="{00000000-0005-0000-0000-000076000000}"/>
    <cellStyle name="$l2 % 3 5" xfId="207" xr:uid="{00000000-0005-0000-0000-000077000000}"/>
    <cellStyle name="$l2 % 3 6" xfId="208" xr:uid="{00000000-0005-0000-0000-000078000000}"/>
    <cellStyle name="$l2 % 3 7" xfId="209" xr:uid="{00000000-0005-0000-0000-000079000000}"/>
    <cellStyle name="$l2 % 4" xfId="210" xr:uid="{00000000-0005-0000-0000-00007A000000}"/>
    <cellStyle name="$l2 % 5" xfId="211" xr:uid="{00000000-0005-0000-0000-00007B000000}"/>
    <cellStyle name="$l2 % 6" xfId="212" xr:uid="{00000000-0005-0000-0000-00007C000000}"/>
    <cellStyle name="$l2 % 7" xfId="213" xr:uid="{00000000-0005-0000-0000-00007D000000}"/>
    <cellStyle name="$l2 % 8" xfId="214" xr:uid="{00000000-0005-0000-0000-00007E000000}"/>
    <cellStyle name="$l2 % 9" xfId="215" xr:uid="{00000000-0005-0000-0000-00007F000000}"/>
    <cellStyle name="$l2 No" xfId="216" xr:uid="{00000000-0005-0000-0000-000080000000}"/>
    <cellStyle name="$l2 No 2" xfId="217" xr:uid="{00000000-0005-0000-0000-000081000000}"/>
    <cellStyle name="$l2 No 2 2" xfId="218" xr:uid="{00000000-0005-0000-0000-000082000000}"/>
    <cellStyle name="$l2 No 2 3" xfId="219" xr:uid="{00000000-0005-0000-0000-000083000000}"/>
    <cellStyle name="$l2 No 2 4" xfId="220" xr:uid="{00000000-0005-0000-0000-000084000000}"/>
    <cellStyle name="$l2 No 2 5" xfId="221" xr:uid="{00000000-0005-0000-0000-000085000000}"/>
    <cellStyle name="$l2 No 2 6" xfId="222" xr:uid="{00000000-0005-0000-0000-000086000000}"/>
    <cellStyle name="$l2 No 2 7" xfId="223" xr:uid="{00000000-0005-0000-0000-000087000000}"/>
    <cellStyle name="$l2 No 3" xfId="224" xr:uid="{00000000-0005-0000-0000-000088000000}"/>
    <cellStyle name="$l2 No 3 2" xfId="225" xr:uid="{00000000-0005-0000-0000-000089000000}"/>
    <cellStyle name="$l2 No 3 3" xfId="226" xr:uid="{00000000-0005-0000-0000-00008A000000}"/>
    <cellStyle name="$l2 No 3 4" xfId="227" xr:uid="{00000000-0005-0000-0000-00008B000000}"/>
    <cellStyle name="$l2 No 3 5" xfId="228" xr:uid="{00000000-0005-0000-0000-00008C000000}"/>
    <cellStyle name="$l2 No 3 6" xfId="229" xr:uid="{00000000-0005-0000-0000-00008D000000}"/>
    <cellStyle name="$l2 No 3 7" xfId="230" xr:uid="{00000000-0005-0000-0000-00008E000000}"/>
    <cellStyle name="$l2 No 4" xfId="231" xr:uid="{00000000-0005-0000-0000-00008F000000}"/>
    <cellStyle name="$l2 No 5" xfId="232" xr:uid="{00000000-0005-0000-0000-000090000000}"/>
    <cellStyle name="$l2 No 6" xfId="233" xr:uid="{00000000-0005-0000-0000-000091000000}"/>
    <cellStyle name="$l2 No 7" xfId="234" xr:uid="{00000000-0005-0000-0000-000092000000}"/>
    <cellStyle name="$l2 No 8" xfId="235" xr:uid="{00000000-0005-0000-0000-000093000000}"/>
    <cellStyle name="$l2 No 9" xfId="236" xr:uid="{00000000-0005-0000-0000-000094000000}"/>
    <cellStyle name="$l2 Row" xfId="237" xr:uid="{00000000-0005-0000-0000-000095000000}"/>
    <cellStyle name="$l2 Row 10" xfId="238" xr:uid="{00000000-0005-0000-0000-000096000000}"/>
    <cellStyle name="$l2 Row 11" xfId="239" xr:uid="{00000000-0005-0000-0000-000097000000}"/>
    <cellStyle name="$l2 Row 2" xfId="240" xr:uid="{00000000-0005-0000-0000-000098000000}"/>
    <cellStyle name="$l2 Row 2 2" xfId="241" xr:uid="{00000000-0005-0000-0000-000099000000}"/>
    <cellStyle name="$l2 Row 2 3" xfId="242" xr:uid="{00000000-0005-0000-0000-00009A000000}"/>
    <cellStyle name="$l2 Row 2 4" xfId="243" xr:uid="{00000000-0005-0000-0000-00009B000000}"/>
    <cellStyle name="$l2 Row 2 5" xfId="244" xr:uid="{00000000-0005-0000-0000-00009C000000}"/>
    <cellStyle name="$l2 Row 2 6" xfId="245" xr:uid="{00000000-0005-0000-0000-00009D000000}"/>
    <cellStyle name="$l2 Row 2 7" xfId="246" xr:uid="{00000000-0005-0000-0000-00009E000000}"/>
    <cellStyle name="$l2 Row 2 8" xfId="247" xr:uid="{00000000-0005-0000-0000-00009F000000}"/>
    <cellStyle name="$l2 Row 3" xfId="248" xr:uid="{00000000-0005-0000-0000-0000A0000000}"/>
    <cellStyle name="$l2 Row 3 2" xfId="249" xr:uid="{00000000-0005-0000-0000-0000A1000000}"/>
    <cellStyle name="$l2 Row 3 3" xfId="250" xr:uid="{00000000-0005-0000-0000-0000A2000000}"/>
    <cellStyle name="$l2 Row 3 4" xfId="251" xr:uid="{00000000-0005-0000-0000-0000A3000000}"/>
    <cellStyle name="$l2 Row 3 5" xfId="252" xr:uid="{00000000-0005-0000-0000-0000A4000000}"/>
    <cellStyle name="$l2 Row 3 6" xfId="253" xr:uid="{00000000-0005-0000-0000-0000A5000000}"/>
    <cellStyle name="$l2 Row 3 7" xfId="254" xr:uid="{00000000-0005-0000-0000-0000A6000000}"/>
    <cellStyle name="$l2 Row 3 8" xfId="255" xr:uid="{00000000-0005-0000-0000-0000A7000000}"/>
    <cellStyle name="$l2 Row 4" xfId="256" xr:uid="{00000000-0005-0000-0000-0000A8000000}"/>
    <cellStyle name="$l2 Row 5" xfId="257" xr:uid="{00000000-0005-0000-0000-0000A9000000}"/>
    <cellStyle name="$l2 Row 6" xfId="258" xr:uid="{00000000-0005-0000-0000-0000AA000000}"/>
    <cellStyle name="$l2 Row 7" xfId="259" xr:uid="{00000000-0005-0000-0000-0000AB000000}"/>
    <cellStyle name="$l2 Row 8" xfId="260" xr:uid="{00000000-0005-0000-0000-0000AC000000}"/>
    <cellStyle name="$l2 Row 9" xfId="261" xr:uid="{00000000-0005-0000-0000-0000AD000000}"/>
    <cellStyle name="$u0 %" xfId="262" xr:uid="{00000000-0005-0000-0000-0000AE000000}"/>
    <cellStyle name="$u0 % 2" xfId="263" xr:uid="{00000000-0005-0000-0000-0000AF000000}"/>
    <cellStyle name="$u0 % 2 2" xfId="264" xr:uid="{00000000-0005-0000-0000-0000B0000000}"/>
    <cellStyle name="$u0 % 2 3" xfId="265" xr:uid="{00000000-0005-0000-0000-0000B1000000}"/>
    <cellStyle name="$u0 % 2 4" xfId="266" xr:uid="{00000000-0005-0000-0000-0000B2000000}"/>
    <cellStyle name="$u0 % 2 5" xfId="267" xr:uid="{00000000-0005-0000-0000-0000B3000000}"/>
    <cellStyle name="$u0 % 2 6" xfId="268" xr:uid="{00000000-0005-0000-0000-0000B4000000}"/>
    <cellStyle name="$u0 % 2 7" xfId="269" xr:uid="{00000000-0005-0000-0000-0000B5000000}"/>
    <cellStyle name="$u0 % 3" xfId="270" xr:uid="{00000000-0005-0000-0000-0000B6000000}"/>
    <cellStyle name="$u0 % 3 2" xfId="271" xr:uid="{00000000-0005-0000-0000-0000B7000000}"/>
    <cellStyle name="$u0 % 3 3" xfId="272" xr:uid="{00000000-0005-0000-0000-0000B8000000}"/>
    <cellStyle name="$u0 % 3 4" xfId="273" xr:uid="{00000000-0005-0000-0000-0000B9000000}"/>
    <cellStyle name="$u0 % 3 5" xfId="274" xr:uid="{00000000-0005-0000-0000-0000BA000000}"/>
    <cellStyle name="$u0 % 3 6" xfId="275" xr:uid="{00000000-0005-0000-0000-0000BB000000}"/>
    <cellStyle name="$u0 % 3 7" xfId="276" xr:uid="{00000000-0005-0000-0000-0000BC000000}"/>
    <cellStyle name="$u0 % 4" xfId="277" xr:uid="{00000000-0005-0000-0000-0000BD000000}"/>
    <cellStyle name="$u0 % 5" xfId="278" xr:uid="{00000000-0005-0000-0000-0000BE000000}"/>
    <cellStyle name="$u0 % 6" xfId="279" xr:uid="{00000000-0005-0000-0000-0000BF000000}"/>
    <cellStyle name="$u0 % 7" xfId="280" xr:uid="{00000000-0005-0000-0000-0000C0000000}"/>
    <cellStyle name="$u0 % 8" xfId="281" xr:uid="{00000000-0005-0000-0000-0000C1000000}"/>
    <cellStyle name="$u0 % 9" xfId="282" xr:uid="{00000000-0005-0000-0000-0000C2000000}"/>
    <cellStyle name="$u0 No" xfId="283" xr:uid="{00000000-0005-0000-0000-0000C3000000}"/>
    <cellStyle name="$u0 No 2" xfId="284" xr:uid="{00000000-0005-0000-0000-0000C4000000}"/>
    <cellStyle name="$u0 No 2 2" xfId="285" xr:uid="{00000000-0005-0000-0000-0000C5000000}"/>
    <cellStyle name="$u0 No 2 3" xfId="286" xr:uid="{00000000-0005-0000-0000-0000C6000000}"/>
    <cellStyle name="$u0 No 2 4" xfId="287" xr:uid="{00000000-0005-0000-0000-0000C7000000}"/>
    <cellStyle name="$u0 No 2 5" xfId="288" xr:uid="{00000000-0005-0000-0000-0000C8000000}"/>
    <cellStyle name="$u0 No 2 6" xfId="289" xr:uid="{00000000-0005-0000-0000-0000C9000000}"/>
    <cellStyle name="$u0 No 2 7" xfId="290" xr:uid="{00000000-0005-0000-0000-0000CA000000}"/>
    <cellStyle name="$u0 No 3" xfId="291" xr:uid="{00000000-0005-0000-0000-0000CB000000}"/>
    <cellStyle name="$u0 No 3 2" xfId="292" xr:uid="{00000000-0005-0000-0000-0000CC000000}"/>
    <cellStyle name="$u0 No 3 3" xfId="293" xr:uid="{00000000-0005-0000-0000-0000CD000000}"/>
    <cellStyle name="$u0 No 3 4" xfId="294" xr:uid="{00000000-0005-0000-0000-0000CE000000}"/>
    <cellStyle name="$u0 No 3 5" xfId="295" xr:uid="{00000000-0005-0000-0000-0000CF000000}"/>
    <cellStyle name="$u0 No 3 6" xfId="296" xr:uid="{00000000-0005-0000-0000-0000D0000000}"/>
    <cellStyle name="$u0 No 3 7" xfId="297" xr:uid="{00000000-0005-0000-0000-0000D1000000}"/>
    <cellStyle name="$u0 No 4" xfId="298" xr:uid="{00000000-0005-0000-0000-0000D2000000}"/>
    <cellStyle name="$u0 No 5" xfId="299" xr:uid="{00000000-0005-0000-0000-0000D3000000}"/>
    <cellStyle name="$u0 No 6" xfId="300" xr:uid="{00000000-0005-0000-0000-0000D4000000}"/>
    <cellStyle name="$u0 No 7" xfId="301" xr:uid="{00000000-0005-0000-0000-0000D5000000}"/>
    <cellStyle name="$u0 No 8" xfId="302" xr:uid="{00000000-0005-0000-0000-0000D6000000}"/>
    <cellStyle name="$u0 No 9" xfId="303" xr:uid="{00000000-0005-0000-0000-0000D7000000}"/>
    <cellStyle name="[StdExit()]" xfId="304" xr:uid="{00000000-0005-0000-0000-0000D8000000}"/>
    <cellStyle name="_List1" xfId="305" xr:uid="{00000000-0005-0000-0000-0000D9000000}"/>
    <cellStyle name="’E‰Ý [0.00]_Region Orders (2)" xfId="306" xr:uid="{00000000-0005-0000-0000-0000DA000000}"/>
    <cellStyle name="’E‰Ý_Region Orders (2)" xfId="307" xr:uid="{00000000-0005-0000-0000-0000DB000000}"/>
    <cellStyle name="•WŹ€_Pacific Region P&amp;L" xfId="308" xr:uid="{00000000-0005-0000-0000-0000DC000000}"/>
    <cellStyle name="•WŹ_Pacific Region P&amp;L" xfId="309" xr:uid="{00000000-0005-0000-0000-0000DD000000}"/>
    <cellStyle name="20 % – Zvýraznění1 2" xfId="310" xr:uid="{00000000-0005-0000-0000-0000DE000000}"/>
    <cellStyle name="20 % – Zvýraznění2 2" xfId="311" xr:uid="{00000000-0005-0000-0000-0000DF000000}"/>
    <cellStyle name="20 % – Zvýraznění3 2" xfId="312" xr:uid="{00000000-0005-0000-0000-0000E0000000}"/>
    <cellStyle name="20 % – Zvýraznění4 2" xfId="313" xr:uid="{00000000-0005-0000-0000-0000E1000000}"/>
    <cellStyle name="20 % – Zvýraznění5 2" xfId="314" xr:uid="{00000000-0005-0000-0000-0000E2000000}"/>
    <cellStyle name="20 % – Zvýraznění6 2" xfId="315" xr:uid="{00000000-0005-0000-0000-0000E3000000}"/>
    <cellStyle name="40 % – Zvýraznění1 2" xfId="316" xr:uid="{00000000-0005-0000-0000-0000E4000000}"/>
    <cellStyle name="40 % – Zvýraznění2 2" xfId="317" xr:uid="{00000000-0005-0000-0000-0000E5000000}"/>
    <cellStyle name="40 % – Zvýraznění3 2" xfId="318" xr:uid="{00000000-0005-0000-0000-0000E6000000}"/>
    <cellStyle name="40 % – Zvýraznění4 2" xfId="319" xr:uid="{00000000-0005-0000-0000-0000E7000000}"/>
    <cellStyle name="40 % – Zvýraznění5 2" xfId="320" xr:uid="{00000000-0005-0000-0000-0000E8000000}"/>
    <cellStyle name="40 % – Zvýraznění6 2" xfId="321" xr:uid="{00000000-0005-0000-0000-0000E9000000}"/>
    <cellStyle name="60 % – Zvýraznění1 2" xfId="322" xr:uid="{00000000-0005-0000-0000-0000EA000000}"/>
    <cellStyle name="60 % – Zvýraznění2 2" xfId="323" xr:uid="{00000000-0005-0000-0000-0000EB000000}"/>
    <cellStyle name="60 % – Zvýraznění3 2" xfId="324" xr:uid="{00000000-0005-0000-0000-0000EC000000}"/>
    <cellStyle name="60 % – Zvýraznění4 2" xfId="325" xr:uid="{00000000-0005-0000-0000-0000ED000000}"/>
    <cellStyle name="60 % – Zvýraznění5 2" xfId="326" xr:uid="{00000000-0005-0000-0000-0000EE000000}"/>
    <cellStyle name="60 % – Zvýraznění6 2" xfId="327" xr:uid="{00000000-0005-0000-0000-0000EF000000}"/>
    <cellStyle name="Accent1 - 20%" xfId="328" xr:uid="{00000000-0005-0000-0000-0000F0000000}"/>
    <cellStyle name="Accent1 - 40%" xfId="329" xr:uid="{00000000-0005-0000-0000-0000F1000000}"/>
    <cellStyle name="Accent1 - 60%" xfId="330" xr:uid="{00000000-0005-0000-0000-0000F2000000}"/>
    <cellStyle name="Accent2 - 20%" xfId="331" xr:uid="{00000000-0005-0000-0000-0000F3000000}"/>
    <cellStyle name="Accent2 - 40%" xfId="332" xr:uid="{00000000-0005-0000-0000-0000F4000000}"/>
    <cellStyle name="Accent2 - 60%" xfId="333" xr:uid="{00000000-0005-0000-0000-0000F5000000}"/>
    <cellStyle name="Accent3 - 20%" xfId="334" xr:uid="{00000000-0005-0000-0000-0000F6000000}"/>
    <cellStyle name="Accent3 - 40%" xfId="335" xr:uid="{00000000-0005-0000-0000-0000F7000000}"/>
    <cellStyle name="Accent3 - 60%" xfId="336" xr:uid="{00000000-0005-0000-0000-0000F8000000}"/>
    <cellStyle name="Accent4 - 20%" xfId="337" xr:uid="{00000000-0005-0000-0000-0000F9000000}"/>
    <cellStyle name="Accent4 - 40%" xfId="338" xr:uid="{00000000-0005-0000-0000-0000FA000000}"/>
    <cellStyle name="Accent4 - 60%" xfId="339" xr:uid="{00000000-0005-0000-0000-0000FB000000}"/>
    <cellStyle name="Accent5 - 20%" xfId="340" xr:uid="{00000000-0005-0000-0000-0000FC000000}"/>
    <cellStyle name="Accent5 - 40%" xfId="341" xr:uid="{00000000-0005-0000-0000-0000FD000000}"/>
    <cellStyle name="Accent5 - 60%" xfId="342" xr:uid="{00000000-0005-0000-0000-0000FE000000}"/>
    <cellStyle name="Accent6 - 20%" xfId="343" xr:uid="{00000000-0005-0000-0000-0000FF000000}"/>
    <cellStyle name="Accent6 - 40%" xfId="344" xr:uid="{00000000-0005-0000-0000-000000010000}"/>
    <cellStyle name="Accent6 - 60%" xfId="345" xr:uid="{00000000-0005-0000-0000-000001010000}"/>
    <cellStyle name="AdminStyle" xfId="346" xr:uid="{00000000-0005-0000-0000-000002010000}"/>
    <cellStyle name="AdminStyle 2" xfId="347" xr:uid="{00000000-0005-0000-0000-000003010000}"/>
    <cellStyle name="AdminStyle 2 2" xfId="348" xr:uid="{00000000-0005-0000-0000-000004010000}"/>
    <cellStyle name="AdminStyle 2 3" xfId="349" xr:uid="{00000000-0005-0000-0000-000005010000}"/>
    <cellStyle name="AdminStyle 2 4" xfId="350" xr:uid="{00000000-0005-0000-0000-000006010000}"/>
    <cellStyle name="AdminStyle 2 5" xfId="351" xr:uid="{00000000-0005-0000-0000-000007010000}"/>
    <cellStyle name="AdminStyle 2 6" xfId="352" xr:uid="{00000000-0005-0000-0000-000008010000}"/>
    <cellStyle name="AdminStyle 2 7" xfId="353" xr:uid="{00000000-0005-0000-0000-000009010000}"/>
    <cellStyle name="AdminStyle 3" xfId="354" xr:uid="{00000000-0005-0000-0000-00000A010000}"/>
    <cellStyle name="AdminStyle 3 2" xfId="355" xr:uid="{00000000-0005-0000-0000-00000B010000}"/>
    <cellStyle name="AdminStyle 3 3" xfId="356" xr:uid="{00000000-0005-0000-0000-00000C010000}"/>
    <cellStyle name="AdminStyle 3 4" xfId="357" xr:uid="{00000000-0005-0000-0000-00000D010000}"/>
    <cellStyle name="AdminStyle 3 5" xfId="358" xr:uid="{00000000-0005-0000-0000-00000E010000}"/>
    <cellStyle name="AdminStyle 3 6" xfId="359" xr:uid="{00000000-0005-0000-0000-00000F010000}"/>
    <cellStyle name="AdminStyle 3 7" xfId="360" xr:uid="{00000000-0005-0000-0000-000010010000}"/>
    <cellStyle name="AdminStyle 4" xfId="361" xr:uid="{00000000-0005-0000-0000-000011010000}"/>
    <cellStyle name="AdminStyle 5" xfId="362" xr:uid="{00000000-0005-0000-0000-000012010000}"/>
    <cellStyle name="AdminStyle 6" xfId="363" xr:uid="{00000000-0005-0000-0000-000013010000}"/>
    <cellStyle name="AdminStyle 7" xfId="364" xr:uid="{00000000-0005-0000-0000-000014010000}"/>
    <cellStyle name="AdminStyle 8" xfId="365" xr:uid="{00000000-0005-0000-0000-000015010000}"/>
    <cellStyle name="AdminStyle 9" xfId="366" xr:uid="{00000000-0005-0000-0000-000016010000}"/>
    <cellStyle name="args.style" xfId="367" xr:uid="{00000000-0005-0000-0000-000017010000}"/>
    <cellStyle name="args.style 2" xfId="368" xr:uid="{00000000-0005-0000-0000-000018010000}"/>
    <cellStyle name="args.style 3" xfId="369" xr:uid="{00000000-0005-0000-0000-000019010000}"/>
    <cellStyle name="args.style_110310_Výkazy CEPS 10_13062011" xfId="370" xr:uid="{00000000-0005-0000-0000-00001A010000}"/>
    <cellStyle name="Calc Currency (0)" xfId="371" xr:uid="{00000000-0005-0000-0000-00001B010000}"/>
    <cellStyle name="Calc Currency (0) 2" xfId="372" xr:uid="{00000000-0005-0000-0000-00001C010000}"/>
    <cellStyle name="Calc Currency (0) 3" xfId="373" xr:uid="{00000000-0005-0000-0000-00001D010000}"/>
    <cellStyle name="Calc Currency (0)_110310_Výkazy CEPS 10_13062011" xfId="374" xr:uid="{00000000-0005-0000-0000-00001E010000}"/>
    <cellStyle name="cárkyd" xfId="375" xr:uid="{00000000-0005-0000-0000-00001F010000}"/>
    <cellStyle name="cary" xfId="376" xr:uid="{00000000-0005-0000-0000-000020010000}"/>
    <cellStyle name="cary 2" xfId="377" xr:uid="{00000000-0005-0000-0000-000021010000}"/>
    <cellStyle name="Celkem 2" xfId="58" xr:uid="{00000000-0005-0000-0000-000022010000}"/>
    <cellStyle name="Celkem 2 10" xfId="378" xr:uid="{00000000-0005-0000-0000-000023010000}"/>
    <cellStyle name="CELKEM 2 2" xfId="379" xr:uid="{00000000-0005-0000-0000-000024010000}"/>
    <cellStyle name="Celkem 2 2 2" xfId="380" xr:uid="{00000000-0005-0000-0000-000025010000}"/>
    <cellStyle name="Celkem 2 2 3" xfId="381" xr:uid="{00000000-0005-0000-0000-000026010000}"/>
    <cellStyle name="Celkem 2 2 4" xfId="382" xr:uid="{00000000-0005-0000-0000-000027010000}"/>
    <cellStyle name="Celkem 2 2 5" xfId="383" xr:uid="{00000000-0005-0000-0000-000028010000}"/>
    <cellStyle name="Celkem 2 2 6" xfId="384" xr:uid="{00000000-0005-0000-0000-000029010000}"/>
    <cellStyle name="Celkem 2 2 7" xfId="385" xr:uid="{00000000-0005-0000-0000-00002A010000}"/>
    <cellStyle name="Celkem 2 2 8" xfId="386" xr:uid="{00000000-0005-0000-0000-00002B010000}"/>
    <cellStyle name="Celkem 2 2 9" xfId="387" xr:uid="{00000000-0005-0000-0000-00002C010000}"/>
    <cellStyle name="CELKEM 2 3" xfId="388" xr:uid="{00000000-0005-0000-0000-00002D010000}"/>
    <cellStyle name="Celkem 2 4" xfId="389" xr:uid="{00000000-0005-0000-0000-00002E010000}"/>
    <cellStyle name="Celkem 2 5" xfId="390" xr:uid="{00000000-0005-0000-0000-00002F010000}"/>
    <cellStyle name="Celkem 2 6" xfId="391" xr:uid="{00000000-0005-0000-0000-000030010000}"/>
    <cellStyle name="Celkem 2 7" xfId="392" xr:uid="{00000000-0005-0000-0000-000031010000}"/>
    <cellStyle name="Celkem 2 8" xfId="393" xr:uid="{00000000-0005-0000-0000-000032010000}"/>
    <cellStyle name="Celkem 2 9" xfId="394" xr:uid="{00000000-0005-0000-0000-000033010000}"/>
    <cellStyle name="CELKEM 3" xfId="395" xr:uid="{00000000-0005-0000-0000-000034010000}"/>
    <cellStyle name="ColLevel_1_BE (2)" xfId="396" xr:uid="{00000000-0005-0000-0000-000035010000}"/>
    <cellStyle name="Comma [0]_!!!GO" xfId="397" xr:uid="{00000000-0005-0000-0000-000036010000}"/>
    <cellStyle name="Comma_!!!GO" xfId="398" xr:uid="{00000000-0005-0000-0000-000037010000}"/>
    <cellStyle name="Copied" xfId="399" xr:uid="{00000000-0005-0000-0000-000038010000}"/>
    <cellStyle name="Copied 2" xfId="400" xr:uid="{00000000-0005-0000-0000-000039010000}"/>
    <cellStyle name="Copied 3" xfId="401" xr:uid="{00000000-0005-0000-0000-00003A010000}"/>
    <cellStyle name="Copied_110310_Výkazy CEPS 10_13062011" xfId="402" xr:uid="{00000000-0005-0000-0000-00003B010000}"/>
    <cellStyle name="COST1" xfId="403" xr:uid="{00000000-0005-0000-0000-00003C010000}"/>
    <cellStyle name="COST1 2" xfId="404" xr:uid="{00000000-0005-0000-0000-00003D010000}"/>
    <cellStyle name="COST1 3" xfId="405" xr:uid="{00000000-0005-0000-0000-00003E010000}"/>
    <cellStyle name="COST1_110310_Výkazy CEPS 10_13062011" xfId="406" xr:uid="{00000000-0005-0000-0000-00003F010000}"/>
    <cellStyle name="Currency [0]_!!!GO" xfId="407" xr:uid="{00000000-0005-0000-0000-000040010000}"/>
    <cellStyle name="Currency_!!!GO" xfId="408" xr:uid="{00000000-0005-0000-0000-000041010000}"/>
    <cellStyle name="ČÁRKA 2" xfId="409" xr:uid="{00000000-0005-0000-0000-000042010000}"/>
    <cellStyle name="ČÁRKA 2 2" xfId="410" xr:uid="{00000000-0005-0000-0000-000043010000}"/>
    <cellStyle name="ČÁRKA 2 3" xfId="411" xr:uid="{00000000-0005-0000-0000-000044010000}"/>
    <cellStyle name="ČEPS" xfId="412" xr:uid="{00000000-0005-0000-0000-000045010000}"/>
    <cellStyle name="ČEPS chybně" xfId="413" xr:uid="{00000000-0005-0000-0000-000046010000}"/>
    <cellStyle name="ČEPS neutrální" xfId="414" xr:uid="{00000000-0005-0000-0000-000047010000}"/>
    <cellStyle name="ČEPS správně" xfId="415" xr:uid="{00000000-0005-0000-0000-000048010000}"/>
    <cellStyle name="Date" xfId="416" xr:uid="{00000000-0005-0000-0000-000049010000}"/>
    <cellStyle name="Date 2" xfId="417" xr:uid="{00000000-0005-0000-0000-00004A010000}"/>
    <cellStyle name="Date 3" xfId="418" xr:uid="{00000000-0005-0000-0000-00004B010000}"/>
    <cellStyle name="Date_110310_Výkazy CEPS 10_13062011" xfId="419" xr:uid="{00000000-0005-0000-0000-00004C010000}"/>
    <cellStyle name="Datum" xfId="59" xr:uid="{00000000-0005-0000-0000-00004D010000}"/>
    <cellStyle name="DATUM 2" xfId="420" xr:uid="{00000000-0005-0000-0000-00004E010000}"/>
    <cellStyle name="DATUM 2 2" xfId="421" xr:uid="{00000000-0005-0000-0000-00004F010000}"/>
    <cellStyle name="DATUM 2 3" xfId="422" xr:uid="{00000000-0005-0000-0000-000050010000}"/>
    <cellStyle name="Emphasis 1" xfId="423" xr:uid="{00000000-0005-0000-0000-000051010000}"/>
    <cellStyle name="Emphasis 2" xfId="424" xr:uid="{00000000-0005-0000-0000-000052010000}"/>
    <cellStyle name="Emphasis 3" xfId="425" xr:uid="{00000000-0005-0000-0000-000053010000}"/>
    <cellStyle name="Entered" xfId="426" xr:uid="{00000000-0005-0000-0000-000054010000}"/>
    <cellStyle name="Entered 2" xfId="427" xr:uid="{00000000-0005-0000-0000-000055010000}"/>
    <cellStyle name="Entered 3" xfId="428" xr:uid="{00000000-0005-0000-0000-000056010000}"/>
    <cellStyle name="Entered_110310_Výkazy CEPS 10_13062011" xfId="429" xr:uid="{00000000-0005-0000-0000-000057010000}"/>
    <cellStyle name="F2" xfId="60" xr:uid="{00000000-0005-0000-0000-000058010000}"/>
    <cellStyle name="F3" xfId="61" xr:uid="{00000000-0005-0000-0000-000059010000}"/>
    <cellStyle name="F4" xfId="62" xr:uid="{00000000-0005-0000-0000-00005A010000}"/>
    <cellStyle name="F5" xfId="63" xr:uid="{00000000-0005-0000-0000-00005B010000}"/>
    <cellStyle name="F6" xfId="64" xr:uid="{00000000-0005-0000-0000-00005C010000}"/>
    <cellStyle name="F7" xfId="65" xr:uid="{00000000-0005-0000-0000-00005D010000}"/>
    <cellStyle name="F8" xfId="66" xr:uid="{00000000-0005-0000-0000-00005E010000}"/>
    <cellStyle name="Finanční0" xfId="67" xr:uid="{00000000-0005-0000-0000-00005F010000}"/>
    <cellStyle name="Fixed" xfId="13" xr:uid="{00000000-0005-0000-0000-000060010000}"/>
    <cellStyle name="Grey" xfId="430" xr:uid="{00000000-0005-0000-0000-000061010000}"/>
    <cellStyle name="Header1" xfId="431" xr:uid="{00000000-0005-0000-0000-000062010000}"/>
    <cellStyle name="Header2" xfId="432" xr:uid="{00000000-0005-0000-0000-000063010000}"/>
    <cellStyle name="Header2 2" xfId="433" xr:uid="{00000000-0005-0000-0000-000064010000}"/>
    <cellStyle name="Header2 2 2" xfId="434" xr:uid="{00000000-0005-0000-0000-000065010000}"/>
    <cellStyle name="Header2 2 3" xfId="435" xr:uid="{00000000-0005-0000-0000-000066010000}"/>
    <cellStyle name="Header2 2 4" xfId="436" xr:uid="{00000000-0005-0000-0000-000067010000}"/>
    <cellStyle name="Header2 2 5" xfId="437" xr:uid="{00000000-0005-0000-0000-000068010000}"/>
    <cellStyle name="Header2 2 6" xfId="438" xr:uid="{00000000-0005-0000-0000-000069010000}"/>
    <cellStyle name="Header2 2 7" xfId="439" xr:uid="{00000000-0005-0000-0000-00006A010000}"/>
    <cellStyle name="Header2 2 8" xfId="440" xr:uid="{00000000-0005-0000-0000-00006B010000}"/>
    <cellStyle name="Header2 3" xfId="441" xr:uid="{00000000-0005-0000-0000-00006C010000}"/>
    <cellStyle name="Header2 3 2" xfId="442" xr:uid="{00000000-0005-0000-0000-00006D010000}"/>
    <cellStyle name="Header2 3 3" xfId="443" xr:uid="{00000000-0005-0000-0000-00006E010000}"/>
    <cellStyle name="Header2 3 4" xfId="444" xr:uid="{00000000-0005-0000-0000-00006F010000}"/>
    <cellStyle name="Header2 3 5" xfId="445" xr:uid="{00000000-0005-0000-0000-000070010000}"/>
    <cellStyle name="Header2 3 6" xfId="446" xr:uid="{00000000-0005-0000-0000-000071010000}"/>
    <cellStyle name="Header2 3 7" xfId="447" xr:uid="{00000000-0005-0000-0000-000072010000}"/>
    <cellStyle name="Header2 3 8" xfId="448" xr:uid="{00000000-0005-0000-0000-000073010000}"/>
    <cellStyle name="HEADING1" xfId="68" xr:uid="{00000000-0005-0000-0000-000074010000}"/>
    <cellStyle name="HEADING2" xfId="69" xr:uid="{00000000-0005-0000-0000-000075010000}"/>
    <cellStyle name="Hypertextový odkaz 2" xfId="4" xr:uid="{00000000-0005-0000-0000-000076010000}"/>
    <cellStyle name="Chybně 2" xfId="449" xr:uid="{00000000-0005-0000-0000-000077010000}"/>
    <cellStyle name="Input [yellow]" xfId="450" xr:uid="{00000000-0005-0000-0000-000078010000}"/>
    <cellStyle name="Input [yellow] 2" xfId="451" xr:uid="{00000000-0005-0000-0000-000079010000}"/>
    <cellStyle name="Input [yellow] 2 10" xfId="452" xr:uid="{00000000-0005-0000-0000-00007A010000}"/>
    <cellStyle name="Input [yellow] 2 2" xfId="453" xr:uid="{00000000-0005-0000-0000-00007B010000}"/>
    <cellStyle name="Input [yellow] 2 3" xfId="454" xr:uid="{00000000-0005-0000-0000-00007C010000}"/>
    <cellStyle name="Input [yellow] 2 4" xfId="455" xr:uid="{00000000-0005-0000-0000-00007D010000}"/>
    <cellStyle name="Input [yellow] 2 5" xfId="456" xr:uid="{00000000-0005-0000-0000-00007E010000}"/>
    <cellStyle name="Input [yellow] 2 6" xfId="457" xr:uid="{00000000-0005-0000-0000-00007F010000}"/>
    <cellStyle name="Input [yellow] 2 7" xfId="458" xr:uid="{00000000-0005-0000-0000-000080010000}"/>
    <cellStyle name="Input [yellow] 2 8" xfId="459" xr:uid="{00000000-0005-0000-0000-000081010000}"/>
    <cellStyle name="Input [yellow] 2 9" xfId="460" xr:uid="{00000000-0005-0000-0000-000082010000}"/>
    <cellStyle name="Input [yellow] 3" xfId="461" xr:uid="{00000000-0005-0000-0000-000083010000}"/>
    <cellStyle name="Input [yellow] 3 10" xfId="462" xr:uid="{00000000-0005-0000-0000-000084010000}"/>
    <cellStyle name="Input [yellow] 3 2" xfId="463" xr:uid="{00000000-0005-0000-0000-000085010000}"/>
    <cellStyle name="Input [yellow] 3 3" xfId="464" xr:uid="{00000000-0005-0000-0000-000086010000}"/>
    <cellStyle name="Input [yellow] 3 4" xfId="465" xr:uid="{00000000-0005-0000-0000-000087010000}"/>
    <cellStyle name="Input [yellow] 3 5" xfId="466" xr:uid="{00000000-0005-0000-0000-000088010000}"/>
    <cellStyle name="Input [yellow] 3 6" xfId="467" xr:uid="{00000000-0005-0000-0000-000089010000}"/>
    <cellStyle name="Input [yellow] 3 7" xfId="468" xr:uid="{00000000-0005-0000-0000-00008A010000}"/>
    <cellStyle name="Input [yellow] 3 8" xfId="469" xr:uid="{00000000-0005-0000-0000-00008B010000}"/>
    <cellStyle name="Input [yellow] 3 9" xfId="470" xr:uid="{00000000-0005-0000-0000-00008C010000}"/>
    <cellStyle name="Input Cells" xfId="471" xr:uid="{00000000-0005-0000-0000-00008D010000}"/>
    <cellStyle name="Input Cells 2" xfId="472" xr:uid="{00000000-0005-0000-0000-00008E010000}"/>
    <cellStyle name="Input Cells 3" xfId="473" xr:uid="{00000000-0005-0000-0000-00008F010000}"/>
    <cellStyle name="Input Cells_110310_Výkazy CEPS 10_13062011" xfId="474" xr:uid="{00000000-0005-0000-0000-000090010000}"/>
    <cellStyle name="Kontrolní buňka 2" xfId="475" xr:uid="{00000000-0005-0000-0000-000091010000}"/>
    <cellStyle name="Linked Cells" xfId="476" xr:uid="{00000000-0005-0000-0000-000092010000}"/>
    <cellStyle name="Linked Cells 2" xfId="477" xr:uid="{00000000-0005-0000-0000-000093010000}"/>
    <cellStyle name="Linked Cells 3" xfId="478" xr:uid="{00000000-0005-0000-0000-000094010000}"/>
    <cellStyle name="Linked Cells_110310_Výkazy CEPS 10_13062011" xfId="479" xr:uid="{00000000-0005-0000-0000-000095010000}"/>
    <cellStyle name="MĚNA 2" xfId="480" xr:uid="{00000000-0005-0000-0000-000096010000}"/>
    <cellStyle name="MĚNA 2 2" xfId="481" xr:uid="{00000000-0005-0000-0000-000097010000}"/>
    <cellStyle name="MĚNA 2 3" xfId="482" xr:uid="{00000000-0005-0000-0000-000098010000}"/>
    <cellStyle name="Měna0" xfId="70" xr:uid="{00000000-0005-0000-0000-000099010000}"/>
    <cellStyle name="Milliers [0]_!!!GO" xfId="483" xr:uid="{00000000-0005-0000-0000-00009A010000}"/>
    <cellStyle name="Milliers_!!!GO" xfId="484" xr:uid="{00000000-0005-0000-0000-00009B010000}"/>
    <cellStyle name="Monétaire [0]_!!!GO" xfId="485" xr:uid="{00000000-0005-0000-0000-00009C010000}"/>
    <cellStyle name="Monétaire_!!!GO" xfId="486" xr:uid="{00000000-0005-0000-0000-00009D010000}"/>
    <cellStyle name="Nadpis 1 2" xfId="487" xr:uid="{00000000-0005-0000-0000-00009E010000}"/>
    <cellStyle name="Nadpis 2 2" xfId="488" xr:uid="{00000000-0005-0000-0000-00009F010000}"/>
    <cellStyle name="Nadpis 3 2" xfId="489" xr:uid="{00000000-0005-0000-0000-0000A0010000}"/>
    <cellStyle name="Nadpis 4 2" xfId="490" xr:uid="{00000000-0005-0000-0000-0000A1010000}"/>
    <cellStyle name="Nadpis malý" xfId="491" xr:uid="{00000000-0005-0000-0000-0000A2010000}"/>
    <cellStyle name="NADPIS1" xfId="492" xr:uid="{00000000-0005-0000-0000-0000A3010000}"/>
    <cellStyle name="NADPIS1 2" xfId="493" xr:uid="{00000000-0005-0000-0000-0000A4010000}"/>
    <cellStyle name="NADPIS1 2 2" xfId="494" xr:uid="{00000000-0005-0000-0000-0000A5010000}"/>
    <cellStyle name="NADPIS1 2 3" xfId="495" xr:uid="{00000000-0005-0000-0000-0000A6010000}"/>
    <cellStyle name="NADPIS2" xfId="496" xr:uid="{00000000-0005-0000-0000-0000A7010000}"/>
    <cellStyle name="NADPIS2 2" xfId="497" xr:uid="{00000000-0005-0000-0000-0000A8010000}"/>
    <cellStyle name="NADPIS2 2 2" xfId="498" xr:uid="{00000000-0005-0000-0000-0000A9010000}"/>
    <cellStyle name="NADPIS2 2 3" xfId="499" xr:uid="{00000000-0005-0000-0000-0000AA010000}"/>
    <cellStyle name="Název 2" xfId="500" xr:uid="{00000000-0005-0000-0000-0000AB010000}"/>
    <cellStyle name="Neutrální 2" xfId="501" xr:uid="{00000000-0005-0000-0000-0000AC010000}"/>
    <cellStyle name="Neutrální 3" xfId="502" xr:uid="{00000000-0005-0000-0000-0000AD010000}"/>
    <cellStyle name="New Times Roman" xfId="503" xr:uid="{00000000-0005-0000-0000-0000AE010000}"/>
    <cellStyle name="New Times Roman 2" xfId="504" xr:uid="{00000000-0005-0000-0000-0000AF010000}"/>
    <cellStyle name="New Times Roman 3" xfId="505" xr:uid="{00000000-0005-0000-0000-0000B0010000}"/>
    <cellStyle name="New Times Roman_110310_Výkazy CEPS 10_13062011" xfId="506" xr:uid="{00000000-0005-0000-0000-0000B1010000}"/>
    <cellStyle name="normal" xfId="71" xr:uid="{00000000-0005-0000-0000-0000B2010000}"/>
    <cellStyle name="Normal - Style1" xfId="507" xr:uid="{00000000-0005-0000-0000-0000B3010000}"/>
    <cellStyle name="Normal - Style1 2" xfId="508" xr:uid="{00000000-0005-0000-0000-0000B4010000}"/>
    <cellStyle name="Normal - Style1 3" xfId="509" xr:uid="{00000000-0005-0000-0000-0000B5010000}"/>
    <cellStyle name="Normal - Style1_110310_Výkazy CEPS 10_13062011" xfId="510" xr:uid="{00000000-0005-0000-0000-0000B6010000}"/>
    <cellStyle name="normal 2" xfId="511" xr:uid="{00000000-0005-0000-0000-0000B7010000}"/>
    <cellStyle name="Normal_!!!GO" xfId="512" xr:uid="{00000000-0005-0000-0000-0000B8010000}"/>
    <cellStyle name="Normální" xfId="0" builtinId="0"/>
    <cellStyle name="Normální 10" xfId="72" xr:uid="{00000000-0005-0000-0000-0000BA010000}"/>
    <cellStyle name="Normální 10 2" xfId="513" xr:uid="{00000000-0005-0000-0000-0000BB010000}"/>
    <cellStyle name="Normální 11" xfId="73" xr:uid="{00000000-0005-0000-0000-0000BC010000}"/>
    <cellStyle name="Normální 11 2" xfId="514" xr:uid="{00000000-0005-0000-0000-0000BD010000}"/>
    <cellStyle name="Normální 11 3" xfId="515" xr:uid="{00000000-0005-0000-0000-0000BE010000}"/>
    <cellStyle name="Normální 11 4" xfId="516" xr:uid="{00000000-0005-0000-0000-0000BF010000}"/>
    <cellStyle name="Normální 11 5" xfId="517" xr:uid="{00000000-0005-0000-0000-0000C0010000}"/>
    <cellStyle name="Normální 11 6" xfId="518" xr:uid="{00000000-0005-0000-0000-0000C1010000}"/>
    <cellStyle name="Normální 12" xfId="74" xr:uid="{00000000-0005-0000-0000-0000C2010000}"/>
    <cellStyle name="Normální 12 2" xfId="519" xr:uid="{00000000-0005-0000-0000-0000C3010000}"/>
    <cellStyle name="Normální 12 3" xfId="1539" xr:uid="{EC41200C-39F2-41F2-929E-0094D727D8BB}"/>
    <cellStyle name="Normální 13" xfId="520" xr:uid="{00000000-0005-0000-0000-0000C4010000}"/>
    <cellStyle name="Normální 13 2" xfId="521" xr:uid="{00000000-0005-0000-0000-0000C5010000}"/>
    <cellStyle name="Normální 14" xfId="522" xr:uid="{00000000-0005-0000-0000-0000C6010000}"/>
    <cellStyle name="Normální 14 2" xfId="523" xr:uid="{00000000-0005-0000-0000-0000C7010000}"/>
    <cellStyle name="Normální 15" xfId="524" xr:uid="{00000000-0005-0000-0000-0000C8010000}"/>
    <cellStyle name="Normální 15 2" xfId="525" xr:uid="{00000000-0005-0000-0000-0000C9010000}"/>
    <cellStyle name="Normální 16" xfId="526" xr:uid="{00000000-0005-0000-0000-0000CA010000}"/>
    <cellStyle name="Normální 17" xfId="527" xr:uid="{00000000-0005-0000-0000-0000CB010000}"/>
    <cellStyle name="Normální 18" xfId="528" xr:uid="{00000000-0005-0000-0000-0000CC010000}"/>
    <cellStyle name="Normální 19" xfId="1536" xr:uid="{00000000-0005-0000-0000-0000CD010000}"/>
    <cellStyle name="Normální 19 2" xfId="1537" xr:uid="{00000000-0005-0000-0000-0000CE010000}"/>
    <cellStyle name="Normální 19 3" xfId="1538" xr:uid="{FC2DA9EE-F984-412E-A44C-5D4015995987}"/>
    <cellStyle name="Normální 2" xfId="2" xr:uid="{00000000-0005-0000-0000-0000CF010000}"/>
    <cellStyle name="Normální 2 2" xfId="14" xr:uid="{00000000-0005-0000-0000-0000D0010000}"/>
    <cellStyle name="Normální 2 2 2" xfId="15" xr:uid="{00000000-0005-0000-0000-0000D1010000}"/>
    <cellStyle name="Normální 2 2 3" xfId="529" xr:uid="{00000000-0005-0000-0000-0000D2010000}"/>
    <cellStyle name="Normální 2 2 4" xfId="530" xr:uid="{00000000-0005-0000-0000-0000D3010000}"/>
    <cellStyle name="Normální 2 3" xfId="20" xr:uid="{00000000-0005-0000-0000-0000D4010000}"/>
    <cellStyle name="normální 2 4" xfId="531" xr:uid="{00000000-0005-0000-0000-0000D5010000}"/>
    <cellStyle name="Normální 2 5" xfId="532" xr:uid="{00000000-0005-0000-0000-0000D6010000}"/>
    <cellStyle name="Normální 2 6" xfId="533" xr:uid="{00000000-0005-0000-0000-0000D7010000}"/>
    <cellStyle name="Normální 2 7" xfId="1535" xr:uid="{00000000-0005-0000-0000-0000D8010000}"/>
    <cellStyle name="normální 2_120301 Výkazy PDS 11" xfId="534" xr:uid="{00000000-0005-0000-0000-0000D9010000}"/>
    <cellStyle name="Normální 3" xfId="5" xr:uid="{00000000-0005-0000-0000-0000DA010000}"/>
    <cellStyle name="Normální 3 2" xfId="535" xr:uid="{00000000-0005-0000-0000-0000DB010000}"/>
    <cellStyle name="Normální 3 2 2" xfId="536" xr:uid="{00000000-0005-0000-0000-0000DC010000}"/>
    <cellStyle name="normální 3 3" xfId="537" xr:uid="{00000000-0005-0000-0000-0000DD010000}"/>
    <cellStyle name="Normální 3 4" xfId="538" xr:uid="{00000000-0005-0000-0000-0000DE010000}"/>
    <cellStyle name="Normální 3 5" xfId="539" xr:uid="{00000000-0005-0000-0000-0000DF010000}"/>
    <cellStyle name="Normální 4" xfId="6" xr:uid="{00000000-0005-0000-0000-0000E0010000}"/>
    <cellStyle name="Normální 4 2" xfId="75" xr:uid="{00000000-0005-0000-0000-0000E1010000}"/>
    <cellStyle name="Normální 4 2 2" xfId="540" xr:uid="{00000000-0005-0000-0000-0000E2010000}"/>
    <cellStyle name="Normální 4 2 3" xfId="541" xr:uid="{00000000-0005-0000-0000-0000E3010000}"/>
    <cellStyle name="Normální 5" xfId="16" xr:uid="{00000000-0005-0000-0000-0000E4010000}"/>
    <cellStyle name="Normální 5 2" xfId="17" xr:uid="{00000000-0005-0000-0000-0000E5010000}"/>
    <cellStyle name="Normální 5 2 2" xfId="76" xr:uid="{00000000-0005-0000-0000-0000E6010000}"/>
    <cellStyle name="Normální 5 3" xfId="19" xr:uid="{00000000-0005-0000-0000-0000E7010000}"/>
    <cellStyle name="Normální 5 4" xfId="77" xr:uid="{00000000-0005-0000-0000-0000E8010000}"/>
    <cellStyle name="Normální 6" xfId="18" xr:uid="{00000000-0005-0000-0000-0000E9010000}"/>
    <cellStyle name="Normální 6 2" xfId="78" xr:uid="{00000000-0005-0000-0000-0000EA010000}"/>
    <cellStyle name="Normální 6 3" xfId="542" xr:uid="{00000000-0005-0000-0000-0000EB010000}"/>
    <cellStyle name="Normální 7" xfId="21" xr:uid="{00000000-0005-0000-0000-0000EC010000}"/>
    <cellStyle name="Normální 7 2" xfId="57" xr:uid="{00000000-0005-0000-0000-0000ED010000}"/>
    <cellStyle name="Normální 7 3" xfId="79" xr:uid="{00000000-0005-0000-0000-0000EE010000}"/>
    <cellStyle name="Normální 8" xfId="22" xr:uid="{00000000-0005-0000-0000-0000EF010000}"/>
    <cellStyle name="Normální 8 2" xfId="80" xr:uid="{00000000-0005-0000-0000-0000F0010000}"/>
    <cellStyle name="Normální 9" xfId="23" xr:uid="{00000000-0005-0000-0000-0000F1010000}"/>
    <cellStyle name="Normální 9 2" xfId="81" xr:uid="{00000000-0005-0000-0000-0000F2010000}"/>
    <cellStyle name="Normální 9 3" xfId="543" xr:uid="{00000000-0005-0000-0000-0000F3010000}"/>
    <cellStyle name="Normální 91" xfId="544" xr:uid="{00000000-0005-0000-0000-0000F4010000}"/>
    <cellStyle name="O…‹aO‚e [0.00]_Region Orders (2)" xfId="545" xr:uid="{00000000-0005-0000-0000-0000F5010000}"/>
    <cellStyle name="O…‹aO‚e_Region Orders (2)" xfId="546" xr:uid="{00000000-0005-0000-0000-0000F6010000}"/>
    <cellStyle name="per.style" xfId="547" xr:uid="{00000000-0005-0000-0000-0000F7010000}"/>
    <cellStyle name="per.style 2" xfId="548" xr:uid="{00000000-0005-0000-0000-0000F8010000}"/>
    <cellStyle name="per.style 3" xfId="549" xr:uid="{00000000-0005-0000-0000-0000F9010000}"/>
    <cellStyle name="per.style_110310_Výkazy CEPS 10_13062011" xfId="550" xr:uid="{00000000-0005-0000-0000-0000FA010000}"/>
    <cellStyle name="Percent [2]" xfId="551" xr:uid="{00000000-0005-0000-0000-0000FB010000}"/>
    <cellStyle name="Percent [2] 2" xfId="552" xr:uid="{00000000-0005-0000-0000-0000FC010000}"/>
    <cellStyle name="Percent [2] 3" xfId="553" xr:uid="{00000000-0005-0000-0000-0000FD010000}"/>
    <cellStyle name="Pevný" xfId="82" xr:uid="{00000000-0005-0000-0000-0000FE010000}"/>
    <cellStyle name="PEVNÝ 2" xfId="554" xr:uid="{00000000-0005-0000-0000-0000FF010000}"/>
    <cellStyle name="PEVNÝ 2 2" xfId="555" xr:uid="{00000000-0005-0000-0000-000000020000}"/>
    <cellStyle name="PEVNÝ 2 3" xfId="556" xr:uid="{00000000-0005-0000-0000-000001020000}"/>
    <cellStyle name="Poznámka 2" xfId="557" xr:uid="{00000000-0005-0000-0000-000002020000}"/>
    <cellStyle name="Poznámka 2 10" xfId="558" xr:uid="{00000000-0005-0000-0000-000003020000}"/>
    <cellStyle name="Poznámka 2 11" xfId="559" xr:uid="{00000000-0005-0000-0000-000004020000}"/>
    <cellStyle name="Poznámka 2 12" xfId="560" xr:uid="{00000000-0005-0000-0000-000005020000}"/>
    <cellStyle name="Poznámka 2 2" xfId="561" xr:uid="{00000000-0005-0000-0000-000006020000}"/>
    <cellStyle name="Poznámka 2 2 10" xfId="562" xr:uid="{00000000-0005-0000-0000-000007020000}"/>
    <cellStyle name="Poznámka 2 2 2" xfId="563" xr:uid="{00000000-0005-0000-0000-000008020000}"/>
    <cellStyle name="Poznámka 2 2 3" xfId="564" xr:uid="{00000000-0005-0000-0000-000009020000}"/>
    <cellStyle name="Poznámka 2 2 4" xfId="565" xr:uid="{00000000-0005-0000-0000-00000A020000}"/>
    <cellStyle name="Poznámka 2 2 5" xfId="566" xr:uid="{00000000-0005-0000-0000-00000B020000}"/>
    <cellStyle name="Poznámka 2 2 6" xfId="567" xr:uid="{00000000-0005-0000-0000-00000C020000}"/>
    <cellStyle name="Poznámka 2 2 7" xfId="568" xr:uid="{00000000-0005-0000-0000-00000D020000}"/>
    <cellStyle name="Poznámka 2 2 8" xfId="569" xr:uid="{00000000-0005-0000-0000-00000E020000}"/>
    <cellStyle name="Poznámka 2 2 9" xfId="570" xr:uid="{00000000-0005-0000-0000-00000F020000}"/>
    <cellStyle name="Poznámka 2 3" xfId="571" xr:uid="{00000000-0005-0000-0000-000010020000}"/>
    <cellStyle name="Poznámka 2 3 10" xfId="572" xr:uid="{00000000-0005-0000-0000-000011020000}"/>
    <cellStyle name="Poznámka 2 3 2" xfId="573" xr:uid="{00000000-0005-0000-0000-000012020000}"/>
    <cellStyle name="Poznámka 2 3 3" xfId="574" xr:uid="{00000000-0005-0000-0000-000013020000}"/>
    <cellStyle name="Poznámka 2 3 4" xfId="575" xr:uid="{00000000-0005-0000-0000-000014020000}"/>
    <cellStyle name="Poznámka 2 3 5" xfId="576" xr:uid="{00000000-0005-0000-0000-000015020000}"/>
    <cellStyle name="Poznámka 2 3 6" xfId="577" xr:uid="{00000000-0005-0000-0000-000016020000}"/>
    <cellStyle name="Poznámka 2 3 7" xfId="578" xr:uid="{00000000-0005-0000-0000-000017020000}"/>
    <cellStyle name="Poznámka 2 3 8" xfId="579" xr:uid="{00000000-0005-0000-0000-000018020000}"/>
    <cellStyle name="Poznámka 2 3 9" xfId="580" xr:uid="{00000000-0005-0000-0000-000019020000}"/>
    <cellStyle name="Poznámka 2 4" xfId="581" xr:uid="{00000000-0005-0000-0000-00001A020000}"/>
    <cellStyle name="Poznámka 2 5" xfId="582" xr:uid="{00000000-0005-0000-0000-00001B020000}"/>
    <cellStyle name="Poznámka 2 6" xfId="583" xr:uid="{00000000-0005-0000-0000-00001C020000}"/>
    <cellStyle name="Poznámka 2 7" xfId="584" xr:uid="{00000000-0005-0000-0000-00001D020000}"/>
    <cellStyle name="Poznámka 2 8" xfId="585" xr:uid="{00000000-0005-0000-0000-00001E020000}"/>
    <cellStyle name="Poznámka 2 9" xfId="586" xr:uid="{00000000-0005-0000-0000-00001F020000}"/>
    <cellStyle name="pricing" xfId="587" xr:uid="{00000000-0005-0000-0000-000020020000}"/>
    <cellStyle name="pricing 2" xfId="588" xr:uid="{00000000-0005-0000-0000-000021020000}"/>
    <cellStyle name="procent 2" xfId="589" xr:uid="{00000000-0005-0000-0000-000022020000}"/>
    <cellStyle name="procent 2 2" xfId="590" xr:uid="{00000000-0005-0000-0000-000023020000}"/>
    <cellStyle name="Procenta" xfId="1" builtinId="5"/>
    <cellStyle name="Procenta 2" xfId="7" xr:uid="{00000000-0005-0000-0000-000025020000}"/>
    <cellStyle name="Procenta 2 2" xfId="3" xr:uid="{00000000-0005-0000-0000-000026020000}"/>
    <cellStyle name="Procenta 2 3" xfId="83" xr:uid="{00000000-0005-0000-0000-000027020000}"/>
    <cellStyle name="Procenta 2 4" xfId="591" xr:uid="{00000000-0005-0000-0000-000028020000}"/>
    <cellStyle name="Procenta 2 5" xfId="592" xr:uid="{00000000-0005-0000-0000-000029020000}"/>
    <cellStyle name="Procenta 3" xfId="84" xr:uid="{00000000-0005-0000-0000-00002A020000}"/>
    <cellStyle name="Procenta 3 2" xfId="85" xr:uid="{00000000-0005-0000-0000-00002B020000}"/>
    <cellStyle name="Procenta 4" xfId="593" xr:uid="{00000000-0005-0000-0000-00002C020000}"/>
    <cellStyle name="Propojená buňka 2" xfId="594" xr:uid="{00000000-0005-0000-0000-00002D020000}"/>
    <cellStyle name="PSChar" xfId="595" xr:uid="{00000000-0005-0000-0000-00002E020000}"/>
    <cellStyle name="PSChar 2" xfId="596" xr:uid="{00000000-0005-0000-0000-00002F020000}"/>
    <cellStyle name="PSChar 3" xfId="597" xr:uid="{00000000-0005-0000-0000-000030020000}"/>
    <cellStyle name="RevList" xfId="598" xr:uid="{00000000-0005-0000-0000-000031020000}"/>
    <cellStyle name="RevList 2" xfId="599" xr:uid="{00000000-0005-0000-0000-000032020000}"/>
    <cellStyle name="RevList 3" xfId="600" xr:uid="{00000000-0005-0000-0000-000033020000}"/>
    <cellStyle name="RevList_110310_Výkazy CEPS 10_13062011" xfId="601" xr:uid="{00000000-0005-0000-0000-000034020000}"/>
    <cellStyle name="RowLevel_1_BE (2)" xfId="602" xr:uid="{00000000-0005-0000-0000-000035020000}"/>
    <cellStyle name="SAPBEXaggData" xfId="8" xr:uid="{00000000-0005-0000-0000-000036020000}"/>
    <cellStyle name="SAPBEXaggData 10" xfId="603" xr:uid="{00000000-0005-0000-0000-000037020000}"/>
    <cellStyle name="SAPBEXaggData 11" xfId="604" xr:uid="{00000000-0005-0000-0000-000038020000}"/>
    <cellStyle name="SAPBEXaggData 2" xfId="605" xr:uid="{00000000-0005-0000-0000-000039020000}"/>
    <cellStyle name="SAPBEXaggData 2 10" xfId="606" xr:uid="{00000000-0005-0000-0000-00003A020000}"/>
    <cellStyle name="SAPBEXaggData 2 11" xfId="607" xr:uid="{00000000-0005-0000-0000-00003B020000}"/>
    <cellStyle name="SAPBEXaggData 2 2" xfId="608" xr:uid="{00000000-0005-0000-0000-00003C020000}"/>
    <cellStyle name="SAPBEXaggData 2 3" xfId="609" xr:uid="{00000000-0005-0000-0000-00003D020000}"/>
    <cellStyle name="SAPBEXaggData 2 4" xfId="610" xr:uid="{00000000-0005-0000-0000-00003E020000}"/>
    <cellStyle name="SAPBEXaggData 2 5" xfId="611" xr:uid="{00000000-0005-0000-0000-00003F020000}"/>
    <cellStyle name="SAPBEXaggData 2 6" xfId="612" xr:uid="{00000000-0005-0000-0000-000040020000}"/>
    <cellStyle name="SAPBEXaggData 2 7" xfId="613" xr:uid="{00000000-0005-0000-0000-000041020000}"/>
    <cellStyle name="SAPBEXaggData 2 8" xfId="614" xr:uid="{00000000-0005-0000-0000-000042020000}"/>
    <cellStyle name="SAPBEXaggData 2 9" xfId="615" xr:uid="{00000000-0005-0000-0000-000043020000}"/>
    <cellStyle name="SAPBEXaggData 3" xfId="616" xr:uid="{00000000-0005-0000-0000-000044020000}"/>
    <cellStyle name="SAPBEXaggData 4" xfId="617" xr:uid="{00000000-0005-0000-0000-000045020000}"/>
    <cellStyle name="SAPBEXaggData 5" xfId="618" xr:uid="{00000000-0005-0000-0000-000046020000}"/>
    <cellStyle name="SAPBEXaggData 6" xfId="619" xr:uid="{00000000-0005-0000-0000-000047020000}"/>
    <cellStyle name="SAPBEXaggData 7" xfId="620" xr:uid="{00000000-0005-0000-0000-000048020000}"/>
    <cellStyle name="SAPBEXaggData 8" xfId="621" xr:uid="{00000000-0005-0000-0000-000049020000}"/>
    <cellStyle name="SAPBEXaggData 9" xfId="622" xr:uid="{00000000-0005-0000-0000-00004A020000}"/>
    <cellStyle name="SAPBEXaggDataEmph" xfId="24" xr:uid="{00000000-0005-0000-0000-00004B020000}"/>
    <cellStyle name="SAPBEXaggDataEmph 10" xfId="623" xr:uid="{00000000-0005-0000-0000-00004C020000}"/>
    <cellStyle name="SAPBEXaggDataEmph 11" xfId="624" xr:uid="{00000000-0005-0000-0000-00004D020000}"/>
    <cellStyle name="SAPBEXaggDataEmph 12" xfId="625" xr:uid="{00000000-0005-0000-0000-00004E020000}"/>
    <cellStyle name="SAPBEXaggDataEmph 2" xfId="626" xr:uid="{00000000-0005-0000-0000-00004F020000}"/>
    <cellStyle name="SAPBEXaggDataEmph 2 10" xfId="627" xr:uid="{00000000-0005-0000-0000-000050020000}"/>
    <cellStyle name="SAPBEXaggDataEmph 2 2" xfId="628" xr:uid="{00000000-0005-0000-0000-000051020000}"/>
    <cellStyle name="SAPBEXaggDataEmph 2 3" xfId="629" xr:uid="{00000000-0005-0000-0000-000052020000}"/>
    <cellStyle name="SAPBEXaggDataEmph 2 4" xfId="630" xr:uid="{00000000-0005-0000-0000-000053020000}"/>
    <cellStyle name="SAPBEXaggDataEmph 2 5" xfId="631" xr:uid="{00000000-0005-0000-0000-000054020000}"/>
    <cellStyle name="SAPBEXaggDataEmph 2 6" xfId="632" xr:uid="{00000000-0005-0000-0000-000055020000}"/>
    <cellStyle name="SAPBEXaggDataEmph 2 7" xfId="633" xr:uid="{00000000-0005-0000-0000-000056020000}"/>
    <cellStyle name="SAPBEXaggDataEmph 2 8" xfId="634" xr:uid="{00000000-0005-0000-0000-000057020000}"/>
    <cellStyle name="SAPBEXaggDataEmph 2 9" xfId="635" xr:uid="{00000000-0005-0000-0000-000058020000}"/>
    <cellStyle name="SAPBEXaggDataEmph 3" xfId="636" xr:uid="{00000000-0005-0000-0000-000059020000}"/>
    <cellStyle name="SAPBEXaggDataEmph 4" xfId="637" xr:uid="{00000000-0005-0000-0000-00005A020000}"/>
    <cellStyle name="SAPBEXaggDataEmph 5" xfId="638" xr:uid="{00000000-0005-0000-0000-00005B020000}"/>
    <cellStyle name="SAPBEXaggDataEmph 6" xfId="639" xr:uid="{00000000-0005-0000-0000-00005C020000}"/>
    <cellStyle name="SAPBEXaggDataEmph 7" xfId="640" xr:uid="{00000000-0005-0000-0000-00005D020000}"/>
    <cellStyle name="SAPBEXaggDataEmph 8" xfId="641" xr:uid="{00000000-0005-0000-0000-00005E020000}"/>
    <cellStyle name="SAPBEXaggDataEmph 9" xfId="642" xr:uid="{00000000-0005-0000-0000-00005F020000}"/>
    <cellStyle name="SAPBEXaggItem" xfId="9" xr:uid="{00000000-0005-0000-0000-000060020000}"/>
    <cellStyle name="SAPBEXaggItem 10" xfId="643" xr:uid="{00000000-0005-0000-0000-000061020000}"/>
    <cellStyle name="SAPBEXaggItem 11" xfId="644" xr:uid="{00000000-0005-0000-0000-000062020000}"/>
    <cellStyle name="SAPBEXaggItem 2" xfId="645" xr:uid="{00000000-0005-0000-0000-000063020000}"/>
    <cellStyle name="SAPBEXaggItem 2 10" xfId="646" xr:uid="{00000000-0005-0000-0000-000064020000}"/>
    <cellStyle name="SAPBEXaggItem 2 11" xfId="647" xr:uid="{00000000-0005-0000-0000-000065020000}"/>
    <cellStyle name="SAPBEXaggItem 2 2" xfId="648" xr:uid="{00000000-0005-0000-0000-000066020000}"/>
    <cellStyle name="SAPBEXaggItem 2 3" xfId="649" xr:uid="{00000000-0005-0000-0000-000067020000}"/>
    <cellStyle name="SAPBEXaggItem 2 4" xfId="650" xr:uid="{00000000-0005-0000-0000-000068020000}"/>
    <cellStyle name="SAPBEXaggItem 2 5" xfId="651" xr:uid="{00000000-0005-0000-0000-000069020000}"/>
    <cellStyle name="SAPBEXaggItem 2 6" xfId="652" xr:uid="{00000000-0005-0000-0000-00006A020000}"/>
    <cellStyle name="SAPBEXaggItem 2 7" xfId="653" xr:uid="{00000000-0005-0000-0000-00006B020000}"/>
    <cellStyle name="SAPBEXaggItem 2 8" xfId="654" xr:uid="{00000000-0005-0000-0000-00006C020000}"/>
    <cellStyle name="SAPBEXaggItem 2 9" xfId="655" xr:uid="{00000000-0005-0000-0000-00006D020000}"/>
    <cellStyle name="SAPBEXaggItem 3" xfId="656" xr:uid="{00000000-0005-0000-0000-00006E020000}"/>
    <cellStyle name="SAPBEXaggItem 4" xfId="657" xr:uid="{00000000-0005-0000-0000-00006F020000}"/>
    <cellStyle name="SAPBEXaggItem 5" xfId="658" xr:uid="{00000000-0005-0000-0000-000070020000}"/>
    <cellStyle name="SAPBEXaggItem 6" xfId="659" xr:uid="{00000000-0005-0000-0000-000071020000}"/>
    <cellStyle name="SAPBEXaggItem 7" xfId="660" xr:uid="{00000000-0005-0000-0000-000072020000}"/>
    <cellStyle name="SAPBEXaggItem 8" xfId="661" xr:uid="{00000000-0005-0000-0000-000073020000}"/>
    <cellStyle name="SAPBEXaggItem 9" xfId="662" xr:uid="{00000000-0005-0000-0000-000074020000}"/>
    <cellStyle name="SAPBEXaggItemX" xfId="25" xr:uid="{00000000-0005-0000-0000-000075020000}"/>
    <cellStyle name="SAPBEXaggItemX 10" xfId="663" xr:uid="{00000000-0005-0000-0000-000076020000}"/>
    <cellStyle name="SAPBEXaggItemX 11" xfId="664" xr:uid="{00000000-0005-0000-0000-000077020000}"/>
    <cellStyle name="SAPBEXaggItemX 12" xfId="665" xr:uid="{00000000-0005-0000-0000-000078020000}"/>
    <cellStyle name="SAPBEXaggItemX 2" xfId="666" xr:uid="{00000000-0005-0000-0000-000079020000}"/>
    <cellStyle name="SAPBEXaggItemX 2 10" xfId="667" xr:uid="{00000000-0005-0000-0000-00007A020000}"/>
    <cellStyle name="SAPBEXaggItemX 2 2" xfId="668" xr:uid="{00000000-0005-0000-0000-00007B020000}"/>
    <cellStyle name="SAPBEXaggItemX 2 3" xfId="669" xr:uid="{00000000-0005-0000-0000-00007C020000}"/>
    <cellStyle name="SAPBEXaggItemX 2 4" xfId="670" xr:uid="{00000000-0005-0000-0000-00007D020000}"/>
    <cellStyle name="SAPBEXaggItemX 2 5" xfId="671" xr:uid="{00000000-0005-0000-0000-00007E020000}"/>
    <cellStyle name="SAPBEXaggItemX 2 6" xfId="672" xr:uid="{00000000-0005-0000-0000-00007F020000}"/>
    <cellStyle name="SAPBEXaggItemX 2 7" xfId="673" xr:uid="{00000000-0005-0000-0000-000080020000}"/>
    <cellStyle name="SAPBEXaggItemX 2 8" xfId="674" xr:uid="{00000000-0005-0000-0000-000081020000}"/>
    <cellStyle name="SAPBEXaggItemX 2 9" xfId="675" xr:uid="{00000000-0005-0000-0000-000082020000}"/>
    <cellStyle name="SAPBEXaggItemX 3" xfId="676" xr:uid="{00000000-0005-0000-0000-000083020000}"/>
    <cellStyle name="SAPBEXaggItemX 4" xfId="677" xr:uid="{00000000-0005-0000-0000-000084020000}"/>
    <cellStyle name="SAPBEXaggItemX 5" xfId="678" xr:uid="{00000000-0005-0000-0000-000085020000}"/>
    <cellStyle name="SAPBEXaggItemX 6" xfId="679" xr:uid="{00000000-0005-0000-0000-000086020000}"/>
    <cellStyle name="SAPBEXaggItemX 7" xfId="680" xr:uid="{00000000-0005-0000-0000-000087020000}"/>
    <cellStyle name="SAPBEXaggItemX 8" xfId="681" xr:uid="{00000000-0005-0000-0000-000088020000}"/>
    <cellStyle name="SAPBEXaggItemX 9" xfId="682" xr:uid="{00000000-0005-0000-0000-000089020000}"/>
    <cellStyle name="SAPBEXexcBad7" xfId="26" xr:uid="{00000000-0005-0000-0000-00008A020000}"/>
    <cellStyle name="SAPBEXexcBad7 10" xfId="683" xr:uid="{00000000-0005-0000-0000-00008B020000}"/>
    <cellStyle name="SAPBEXexcBad7 11" xfId="684" xr:uid="{00000000-0005-0000-0000-00008C020000}"/>
    <cellStyle name="SAPBEXexcBad7 12" xfId="685" xr:uid="{00000000-0005-0000-0000-00008D020000}"/>
    <cellStyle name="SAPBEXexcBad7 2" xfId="686" xr:uid="{00000000-0005-0000-0000-00008E020000}"/>
    <cellStyle name="SAPBEXexcBad7 2 10" xfId="687" xr:uid="{00000000-0005-0000-0000-00008F020000}"/>
    <cellStyle name="SAPBEXexcBad7 2 2" xfId="688" xr:uid="{00000000-0005-0000-0000-000090020000}"/>
    <cellStyle name="SAPBEXexcBad7 2 3" xfId="689" xr:uid="{00000000-0005-0000-0000-000091020000}"/>
    <cellStyle name="SAPBEXexcBad7 2 4" xfId="690" xr:uid="{00000000-0005-0000-0000-000092020000}"/>
    <cellStyle name="SAPBEXexcBad7 2 5" xfId="691" xr:uid="{00000000-0005-0000-0000-000093020000}"/>
    <cellStyle name="SAPBEXexcBad7 2 6" xfId="692" xr:uid="{00000000-0005-0000-0000-000094020000}"/>
    <cellStyle name="SAPBEXexcBad7 2 7" xfId="693" xr:uid="{00000000-0005-0000-0000-000095020000}"/>
    <cellStyle name="SAPBEXexcBad7 2 8" xfId="694" xr:uid="{00000000-0005-0000-0000-000096020000}"/>
    <cellStyle name="SAPBEXexcBad7 2 9" xfId="695" xr:uid="{00000000-0005-0000-0000-000097020000}"/>
    <cellStyle name="SAPBEXexcBad7 3" xfId="696" xr:uid="{00000000-0005-0000-0000-000098020000}"/>
    <cellStyle name="SAPBEXexcBad7 4" xfId="697" xr:uid="{00000000-0005-0000-0000-000099020000}"/>
    <cellStyle name="SAPBEXexcBad7 5" xfId="698" xr:uid="{00000000-0005-0000-0000-00009A020000}"/>
    <cellStyle name="SAPBEXexcBad7 6" xfId="699" xr:uid="{00000000-0005-0000-0000-00009B020000}"/>
    <cellStyle name="SAPBEXexcBad7 7" xfId="700" xr:uid="{00000000-0005-0000-0000-00009C020000}"/>
    <cellStyle name="SAPBEXexcBad7 8" xfId="701" xr:uid="{00000000-0005-0000-0000-00009D020000}"/>
    <cellStyle name="SAPBEXexcBad7 9" xfId="702" xr:uid="{00000000-0005-0000-0000-00009E020000}"/>
    <cellStyle name="SAPBEXexcBad8" xfId="27" xr:uid="{00000000-0005-0000-0000-00009F020000}"/>
    <cellStyle name="SAPBEXexcBad8 10" xfId="703" xr:uid="{00000000-0005-0000-0000-0000A0020000}"/>
    <cellStyle name="SAPBEXexcBad8 11" xfId="704" xr:uid="{00000000-0005-0000-0000-0000A1020000}"/>
    <cellStyle name="SAPBEXexcBad8 12" xfId="705" xr:uid="{00000000-0005-0000-0000-0000A2020000}"/>
    <cellStyle name="SAPBEXexcBad8 2" xfId="706" xr:uid="{00000000-0005-0000-0000-0000A3020000}"/>
    <cellStyle name="SAPBEXexcBad8 2 10" xfId="707" xr:uid="{00000000-0005-0000-0000-0000A4020000}"/>
    <cellStyle name="SAPBEXexcBad8 2 2" xfId="708" xr:uid="{00000000-0005-0000-0000-0000A5020000}"/>
    <cellStyle name="SAPBEXexcBad8 2 3" xfId="709" xr:uid="{00000000-0005-0000-0000-0000A6020000}"/>
    <cellStyle name="SAPBEXexcBad8 2 4" xfId="710" xr:uid="{00000000-0005-0000-0000-0000A7020000}"/>
    <cellStyle name="SAPBEXexcBad8 2 5" xfId="711" xr:uid="{00000000-0005-0000-0000-0000A8020000}"/>
    <cellStyle name="SAPBEXexcBad8 2 6" xfId="712" xr:uid="{00000000-0005-0000-0000-0000A9020000}"/>
    <cellStyle name="SAPBEXexcBad8 2 7" xfId="713" xr:uid="{00000000-0005-0000-0000-0000AA020000}"/>
    <cellStyle name="SAPBEXexcBad8 2 8" xfId="714" xr:uid="{00000000-0005-0000-0000-0000AB020000}"/>
    <cellStyle name="SAPBEXexcBad8 2 9" xfId="715" xr:uid="{00000000-0005-0000-0000-0000AC020000}"/>
    <cellStyle name="SAPBEXexcBad8 3" xfId="716" xr:uid="{00000000-0005-0000-0000-0000AD020000}"/>
    <cellStyle name="SAPBEXexcBad8 4" xfId="717" xr:uid="{00000000-0005-0000-0000-0000AE020000}"/>
    <cellStyle name="SAPBEXexcBad8 5" xfId="718" xr:uid="{00000000-0005-0000-0000-0000AF020000}"/>
    <cellStyle name="SAPBEXexcBad8 6" xfId="719" xr:uid="{00000000-0005-0000-0000-0000B0020000}"/>
    <cellStyle name="SAPBEXexcBad8 7" xfId="720" xr:uid="{00000000-0005-0000-0000-0000B1020000}"/>
    <cellStyle name="SAPBEXexcBad8 8" xfId="721" xr:uid="{00000000-0005-0000-0000-0000B2020000}"/>
    <cellStyle name="SAPBEXexcBad8 9" xfId="722" xr:uid="{00000000-0005-0000-0000-0000B3020000}"/>
    <cellStyle name="SAPBEXexcBad9" xfId="28" xr:uid="{00000000-0005-0000-0000-0000B4020000}"/>
    <cellStyle name="SAPBEXexcBad9 10" xfId="723" xr:uid="{00000000-0005-0000-0000-0000B5020000}"/>
    <cellStyle name="SAPBEXexcBad9 11" xfId="724" xr:uid="{00000000-0005-0000-0000-0000B6020000}"/>
    <cellStyle name="SAPBEXexcBad9 12" xfId="725" xr:uid="{00000000-0005-0000-0000-0000B7020000}"/>
    <cellStyle name="SAPBEXexcBad9 2" xfId="726" xr:uid="{00000000-0005-0000-0000-0000B8020000}"/>
    <cellStyle name="SAPBEXexcBad9 2 10" xfId="727" xr:uid="{00000000-0005-0000-0000-0000B9020000}"/>
    <cellStyle name="SAPBEXexcBad9 2 2" xfId="728" xr:uid="{00000000-0005-0000-0000-0000BA020000}"/>
    <cellStyle name="SAPBEXexcBad9 2 3" xfId="729" xr:uid="{00000000-0005-0000-0000-0000BB020000}"/>
    <cellStyle name="SAPBEXexcBad9 2 4" xfId="730" xr:uid="{00000000-0005-0000-0000-0000BC020000}"/>
    <cellStyle name="SAPBEXexcBad9 2 5" xfId="731" xr:uid="{00000000-0005-0000-0000-0000BD020000}"/>
    <cellStyle name="SAPBEXexcBad9 2 6" xfId="732" xr:uid="{00000000-0005-0000-0000-0000BE020000}"/>
    <cellStyle name="SAPBEXexcBad9 2 7" xfId="733" xr:uid="{00000000-0005-0000-0000-0000BF020000}"/>
    <cellStyle name="SAPBEXexcBad9 2 8" xfId="734" xr:uid="{00000000-0005-0000-0000-0000C0020000}"/>
    <cellStyle name="SAPBEXexcBad9 2 9" xfId="735" xr:uid="{00000000-0005-0000-0000-0000C1020000}"/>
    <cellStyle name="SAPBEXexcBad9 3" xfId="736" xr:uid="{00000000-0005-0000-0000-0000C2020000}"/>
    <cellStyle name="SAPBEXexcBad9 4" xfId="737" xr:uid="{00000000-0005-0000-0000-0000C3020000}"/>
    <cellStyle name="SAPBEXexcBad9 5" xfId="738" xr:uid="{00000000-0005-0000-0000-0000C4020000}"/>
    <cellStyle name="SAPBEXexcBad9 6" xfId="739" xr:uid="{00000000-0005-0000-0000-0000C5020000}"/>
    <cellStyle name="SAPBEXexcBad9 7" xfId="740" xr:uid="{00000000-0005-0000-0000-0000C6020000}"/>
    <cellStyle name="SAPBEXexcBad9 8" xfId="741" xr:uid="{00000000-0005-0000-0000-0000C7020000}"/>
    <cellStyle name="SAPBEXexcBad9 9" xfId="742" xr:uid="{00000000-0005-0000-0000-0000C8020000}"/>
    <cellStyle name="SAPBEXexcCritical4" xfId="29" xr:uid="{00000000-0005-0000-0000-0000C9020000}"/>
    <cellStyle name="SAPBEXexcCritical4 10" xfId="743" xr:uid="{00000000-0005-0000-0000-0000CA020000}"/>
    <cellStyle name="SAPBEXexcCritical4 11" xfId="744" xr:uid="{00000000-0005-0000-0000-0000CB020000}"/>
    <cellStyle name="SAPBEXexcCritical4 12" xfId="745" xr:uid="{00000000-0005-0000-0000-0000CC020000}"/>
    <cellStyle name="SAPBEXexcCritical4 2" xfId="746" xr:uid="{00000000-0005-0000-0000-0000CD020000}"/>
    <cellStyle name="SAPBEXexcCritical4 2 10" xfId="747" xr:uid="{00000000-0005-0000-0000-0000CE020000}"/>
    <cellStyle name="SAPBEXexcCritical4 2 2" xfId="748" xr:uid="{00000000-0005-0000-0000-0000CF020000}"/>
    <cellStyle name="SAPBEXexcCritical4 2 3" xfId="749" xr:uid="{00000000-0005-0000-0000-0000D0020000}"/>
    <cellStyle name="SAPBEXexcCritical4 2 4" xfId="750" xr:uid="{00000000-0005-0000-0000-0000D1020000}"/>
    <cellStyle name="SAPBEXexcCritical4 2 5" xfId="751" xr:uid="{00000000-0005-0000-0000-0000D2020000}"/>
    <cellStyle name="SAPBEXexcCritical4 2 6" xfId="752" xr:uid="{00000000-0005-0000-0000-0000D3020000}"/>
    <cellStyle name="SAPBEXexcCritical4 2 7" xfId="753" xr:uid="{00000000-0005-0000-0000-0000D4020000}"/>
    <cellStyle name="SAPBEXexcCritical4 2 8" xfId="754" xr:uid="{00000000-0005-0000-0000-0000D5020000}"/>
    <cellStyle name="SAPBEXexcCritical4 2 9" xfId="755" xr:uid="{00000000-0005-0000-0000-0000D6020000}"/>
    <cellStyle name="SAPBEXexcCritical4 3" xfId="756" xr:uid="{00000000-0005-0000-0000-0000D7020000}"/>
    <cellStyle name="SAPBEXexcCritical4 4" xfId="757" xr:uid="{00000000-0005-0000-0000-0000D8020000}"/>
    <cellStyle name="SAPBEXexcCritical4 5" xfId="758" xr:uid="{00000000-0005-0000-0000-0000D9020000}"/>
    <cellStyle name="SAPBEXexcCritical4 6" xfId="759" xr:uid="{00000000-0005-0000-0000-0000DA020000}"/>
    <cellStyle name="SAPBEXexcCritical4 7" xfId="760" xr:uid="{00000000-0005-0000-0000-0000DB020000}"/>
    <cellStyle name="SAPBEXexcCritical4 8" xfId="761" xr:uid="{00000000-0005-0000-0000-0000DC020000}"/>
    <cellStyle name="SAPBEXexcCritical4 9" xfId="762" xr:uid="{00000000-0005-0000-0000-0000DD020000}"/>
    <cellStyle name="SAPBEXexcCritical5" xfId="30" xr:uid="{00000000-0005-0000-0000-0000DE020000}"/>
    <cellStyle name="SAPBEXexcCritical5 10" xfId="763" xr:uid="{00000000-0005-0000-0000-0000DF020000}"/>
    <cellStyle name="SAPBEXexcCritical5 11" xfId="764" xr:uid="{00000000-0005-0000-0000-0000E0020000}"/>
    <cellStyle name="SAPBEXexcCritical5 12" xfId="765" xr:uid="{00000000-0005-0000-0000-0000E1020000}"/>
    <cellStyle name="SAPBEXexcCritical5 2" xfId="766" xr:uid="{00000000-0005-0000-0000-0000E2020000}"/>
    <cellStyle name="SAPBEXexcCritical5 2 10" xfId="767" xr:uid="{00000000-0005-0000-0000-0000E3020000}"/>
    <cellStyle name="SAPBEXexcCritical5 2 2" xfId="768" xr:uid="{00000000-0005-0000-0000-0000E4020000}"/>
    <cellStyle name="SAPBEXexcCritical5 2 3" xfId="769" xr:uid="{00000000-0005-0000-0000-0000E5020000}"/>
    <cellStyle name="SAPBEXexcCritical5 2 4" xfId="770" xr:uid="{00000000-0005-0000-0000-0000E6020000}"/>
    <cellStyle name="SAPBEXexcCritical5 2 5" xfId="771" xr:uid="{00000000-0005-0000-0000-0000E7020000}"/>
    <cellStyle name="SAPBEXexcCritical5 2 6" xfId="772" xr:uid="{00000000-0005-0000-0000-0000E8020000}"/>
    <cellStyle name="SAPBEXexcCritical5 2 7" xfId="773" xr:uid="{00000000-0005-0000-0000-0000E9020000}"/>
    <cellStyle name="SAPBEXexcCritical5 2 8" xfId="774" xr:uid="{00000000-0005-0000-0000-0000EA020000}"/>
    <cellStyle name="SAPBEXexcCritical5 2 9" xfId="775" xr:uid="{00000000-0005-0000-0000-0000EB020000}"/>
    <cellStyle name="SAPBEXexcCritical5 3" xfId="776" xr:uid="{00000000-0005-0000-0000-0000EC020000}"/>
    <cellStyle name="SAPBEXexcCritical5 4" xfId="777" xr:uid="{00000000-0005-0000-0000-0000ED020000}"/>
    <cellStyle name="SAPBEXexcCritical5 5" xfId="778" xr:uid="{00000000-0005-0000-0000-0000EE020000}"/>
    <cellStyle name="SAPBEXexcCritical5 6" xfId="779" xr:uid="{00000000-0005-0000-0000-0000EF020000}"/>
    <cellStyle name="SAPBEXexcCritical5 7" xfId="780" xr:uid="{00000000-0005-0000-0000-0000F0020000}"/>
    <cellStyle name="SAPBEXexcCritical5 8" xfId="781" xr:uid="{00000000-0005-0000-0000-0000F1020000}"/>
    <cellStyle name="SAPBEXexcCritical5 9" xfId="782" xr:uid="{00000000-0005-0000-0000-0000F2020000}"/>
    <cellStyle name="SAPBEXexcCritical6" xfId="31" xr:uid="{00000000-0005-0000-0000-0000F3020000}"/>
    <cellStyle name="SAPBEXexcCritical6 10" xfId="783" xr:uid="{00000000-0005-0000-0000-0000F4020000}"/>
    <cellStyle name="SAPBEXexcCritical6 11" xfId="784" xr:uid="{00000000-0005-0000-0000-0000F5020000}"/>
    <cellStyle name="SAPBEXexcCritical6 12" xfId="785" xr:uid="{00000000-0005-0000-0000-0000F6020000}"/>
    <cellStyle name="SAPBEXexcCritical6 2" xfId="786" xr:uid="{00000000-0005-0000-0000-0000F7020000}"/>
    <cellStyle name="SAPBEXexcCritical6 2 10" xfId="787" xr:uid="{00000000-0005-0000-0000-0000F8020000}"/>
    <cellStyle name="SAPBEXexcCritical6 2 2" xfId="788" xr:uid="{00000000-0005-0000-0000-0000F9020000}"/>
    <cellStyle name="SAPBEXexcCritical6 2 3" xfId="789" xr:uid="{00000000-0005-0000-0000-0000FA020000}"/>
    <cellStyle name="SAPBEXexcCritical6 2 4" xfId="790" xr:uid="{00000000-0005-0000-0000-0000FB020000}"/>
    <cellStyle name="SAPBEXexcCritical6 2 5" xfId="791" xr:uid="{00000000-0005-0000-0000-0000FC020000}"/>
    <cellStyle name="SAPBEXexcCritical6 2 6" xfId="792" xr:uid="{00000000-0005-0000-0000-0000FD020000}"/>
    <cellStyle name="SAPBEXexcCritical6 2 7" xfId="793" xr:uid="{00000000-0005-0000-0000-0000FE020000}"/>
    <cellStyle name="SAPBEXexcCritical6 2 8" xfId="794" xr:uid="{00000000-0005-0000-0000-0000FF020000}"/>
    <cellStyle name="SAPBEXexcCritical6 2 9" xfId="795" xr:uid="{00000000-0005-0000-0000-000000030000}"/>
    <cellStyle name="SAPBEXexcCritical6 3" xfId="796" xr:uid="{00000000-0005-0000-0000-000001030000}"/>
    <cellStyle name="SAPBEXexcCritical6 4" xfId="797" xr:uid="{00000000-0005-0000-0000-000002030000}"/>
    <cellStyle name="SAPBEXexcCritical6 5" xfId="798" xr:uid="{00000000-0005-0000-0000-000003030000}"/>
    <cellStyle name="SAPBEXexcCritical6 6" xfId="799" xr:uid="{00000000-0005-0000-0000-000004030000}"/>
    <cellStyle name="SAPBEXexcCritical6 7" xfId="800" xr:uid="{00000000-0005-0000-0000-000005030000}"/>
    <cellStyle name="SAPBEXexcCritical6 8" xfId="801" xr:uid="{00000000-0005-0000-0000-000006030000}"/>
    <cellStyle name="SAPBEXexcCritical6 9" xfId="802" xr:uid="{00000000-0005-0000-0000-000007030000}"/>
    <cellStyle name="SAPBEXexcGood1" xfId="32" xr:uid="{00000000-0005-0000-0000-000008030000}"/>
    <cellStyle name="SAPBEXexcGood1 10" xfId="803" xr:uid="{00000000-0005-0000-0000-000009030000}"/>
    <cellStyle name="SAPBEXexcGood1 11" xfId="804" xr:uid="{00000000-0005-0000-0000-00000A030000}"/>
    <cellStyle name="SAPBEXexcGood1 12" xfId="805" xr:uid="{00000000-0005-0000-0000-00000B030000}"/>
    <cellStyle name="SAPBEXexcGood1 2" xfId="806" xr:uid="{00000000-0005-0000-0000-00000C030000}"/>
    <cellStyle name="SAPBEXexcGood1 2 10" xfId="807" xr:uid="{00000000-0005-0000-0000-00000D030000}"/>
    <cellStyle name="SAPBEXexcGood1 2 2" xfId="808" xr:uid="{00000000-0005-0000-0000-00000E030000}"/>
    <cellStyle name="SAPBEXexcGood1 2 3" xfId="809" xr:uid="{00000000-0005-0000-0000-00000F030000}"/>
    <cellStyle name="SAPBEXexcGood1 2 4" xfId="810" xr:uid="{00000000-0005-0000-0000-000010030000}"/>
    <cellStyle name="SAPBEXexcGood1 2 5" xfId="811" xr:uid="{00000000-0005-0000-0000-000011030000}"/>
    <cellStyle name="SAPBEXexcGood1 2 6" xfId="812" xr:uid="{00000000-0005-0000-0000-000012030000}"/>
    <cellStyle name="SAPBEXexcGood1 2 7" xfId="813" xr:uid="{00000000-0005-0000-0000-000013030000}"/>
    <cellStyle name="SAPBEXexcGood1 2 8" xfId="814" xr:uid="{00000000-0005-0000-0000-000014030000}"/>
    <cellStyle name="SAPBEXexcGood1 2 9" xfId="815" xr:uid="{00000000-0005-0000-0000-000015030000}"/>
    <cellStyle name="SAPBEXexcGood1 3" xfId="816" xr:uid="{00000000-0005-0000-0000-000016030000}"/>
    <cellStyle name="SAPBEXexcGood1 4" xfId="817" xr:uid="{00000000-0005-0000-0000-000017030000}"/>
    <cellStyle name="SAPBEXexcGood1 5" xfId="818" xr:uid="{00000000-0005-0000-0000-000018030000}"/>
    <cellStyle name="SAPBEXexcGood1 6" xfId="819" xr:uid="{00000000-0005-0000-0000-000019030000}"/>
    <cellStyle name="SAPBEXexcGood1 7" xfId="820" xr:uid="{00000000-0005-0000-0000-00001A030000}"/>
    <cellStyle name="SAPBEXexcGood1 8" xfId="821" xr:uid="{00000000-0005-0000-0000-00001B030000}"/>
    <cellStyle name="SAPBEXexcGood1 9" xfId="822" xr:uid="{00000000-0005-0000-0000-00001C030000}"/>
    <cellStyle name="SAPBEXexcGood2" xfId="33" xr:uid="{00000000-0005-0000-0000-00001D030000}"/>
    <cellStyle name="SAPBEXexcGood2 10" xfId="823" xr:uid="{00000000-0005-0000-0000-00001E030000}"/>
    <cellStyle name="SAPBEXexcGood2 11" xfId="824" xr:uid="{00000000-0005-0000-0000-00001F030000}"/>
    <cellStyle name="SAPBEXexcGood2 12" xfId="825" xr:uid="{00000000-0005-0000-0000-000020030000}"/>
    <cellStyle name="SAPBEXexcGood2 2" xfId="826" xr:uid="{00000000-0005-0000-0000-000021030000}"/>
    <cellStyle name="SAPBEXexcGood2 2 10" xfId="827" xr:uid="{00000000-0005-0000-0000-000022030000}"/>
    <cellStyle name="SAPBEXexcGood2 2 2" xfId="828" xr:uid="{00000000-0005-0000-0000-000023030000}"/>
    <cellStyle name="SAPBEXexcGood2 2 3" xfId="829" xr:uid="{00000000-0005-0000-0000-000024030000}"/>
    <cellStyle name="SAPBEXexcGood2 2 4" xfId="830" xr:uid="{00000000-0005-0000-0000-000025030000}"/>
    <cellStyle name="SAPBEXexcGood2 2 5" xfId="831" xr:uid="{00000000-0005-0000-0000-000026030000}"/>
    <cellStyle name="SAPBEXexcGood2 2 6" xfId="832" xr:uid="{00000000-0005-0000-0000-000027030000}"/>
    <cellStyle name="SAPBEXexcGood2 2 7" xfId="833" xr:uid="{00000000-0005-0000-0000-000028030000}"/>
    <cellStyle name="SAPBEXexcGood2 2 8" xfId="834" xr:uid="{00000000-0005-0000-0000-000029030000}"/>
    <cellStyle name="SAPBEXexcGood2 2 9" xfId="835" xr:uid="{00000000-0005-0000-0000-00002A030000}"/>
    <cellStyle name="SAPBEXexcGood2 3" xfId="836" xr:uid="{00000000-0005-0000-0000-00002B030000}"/>
    <cellStyle name="SAPBEXexcGood2 4" xfId="837" xr:uid="{00000000-0005-0000-0000-00002C030000}"/>
    <cellStyle name="SAPBEXexcGood2 5" xfId="838" xr:uid="{00000000-0005-0000-0000-00002D030000}"/>
    <cellStyle name="SAPBEXexcGood2 6" xfId="839" xr:uid="{00000000-0005-0000-0000-00002E030000}"/>
    <cellStyle name="SAPBEXexcGood2 7" xfId="840" xr:uid="{00000000-0005-0000-0000-00002F030000}"/>
    <cellStyle name="SAPBEXexcGood2 8" xfId="841" xr:uid="{00000000-0005-0000-0000-000030030000}"/>
    <cellStyle name="SAPBEXexcGood2 9" xfId="842" xr:uid="{00000000-0005-0000-0000-000031030000}"/>
    <cellStyle name="SAPBEXexcGood3" xfId="34" xr:uid="{00000000-0005-0000-0000-000032030000}"/>
    <cellStyle name="SAPBEXexcGood3 10" xfId="843" xr:uid="{00000000-0005-0000-0000-000033030000}"/>
    <cellStyle name="SAPBEXexcGood3 11" xfId="844" xr:uid="{00000000-0005-0000-0000-000034030000}"/>
    <cellStyle name="SAPBEXexcGood3 12" xfId="845" xr:uid="{00000000-0005-0000-0000-000035030000}"/>
    <cellStyle name="SAPBEXexcGood3 2" xfId="846" xr:uid="{00000000-0005-0000-0000-000036030000}"/>
    <cellStyle name="SAPBEXexcGood3 2 10" xfId="847" xr:uid="{00000000-0005-0000-0000-000037030000}"/>
    <cellStyle name="SAPBEXexcGood3 2 2" xfId="848" xr:uid="{00000000-0005-0000-0000-000038030000}"/>
    <cellStyle name="SAPBEXexcGood3 2 3" xfId="849" xr:uid="{00000000-0005-0000-0000-000039030000}"/>
    <cellStyle name="SAPBEXexcGood3 2 4" xfId="850" xr:uid="{00000000-0005-0000-0000-00003A030000}"/>
    <cellStyle name="SAPBEXexcGood3 2 5" xfId="851" xr:uid="{00000000-0005-0000-0000-00003B030000}"/>
    <cellStyle name="SAPBEXexcGood3 2 6" xfId="852" xr:uid="{00000000-0005-0000-0000-00003C030000}"/>
    <cellStyle name="SAPBEXexcGood3 2 7" xfId="853" xr:uid="{00000000-0005-0000-0000-00003D030000}"/>
    <cellStyle name="SAPBEXexcGood3 2 8" xfId="854" xr:uid="{00000000-0005-0000-0000-00003E030000}"/>
    <cellStyle name="SAPBEXexcGood3 2 9" xfId="855" xr:uid="{00000000-0005-0000-0000-00003F030000}"/>
    <cellStyle name="SAPBEXexcGood3 3" xfId="856" xr:uid="{00000000-0005-0000-0000-000040030000}"/>
    <cellStyle name="SAPBEXexcGood3 4" xfId="857" xr:uid="{00000000-0005-0000-0000-000041030000}"/>
    <cellStyle name="SAPBEXexcGood3 5" xfId="858" xr:uid="{00000000-0005-0000-0000-000042030000}"/>
    <cellStyle name="SAPBEXexcGood3 6" xfId="859" xr:uid="{00000000-0005-0000-0000-000043030000}"/>
    <cellStyle name="SAPBEXexcGood3 7" xfId="860" xr:uid="{00000000-0005-0000-0000-000044030000}"/>
    <cellStyle name="SAPBEXexcGood3 8" xfId="861" xr:uid="{00000000-0005-0000-0000-000045030000}"/>
    <cellStyle name="SAPBEXexcGood3 9" xfId="862" xr:uid="{00000000-0005-0000-0000-000046030000}"/>
    <cellStyle name="SAPBEXfilterDrill" xfId="35" xr:uid="{00000000-0005-0000-0000-000047030000}"/>
    <cellStyle name="SAPBEXfilterDrill 10" xfId="863" xr:uid="{00000000-0005-0000-0000-000048030000}"/>
    <cellStyle name="SAPBEXfilterDrill 11" xfId="864" xr:uid="{00000000-0005-0000-0000-000049030000}"/>
    <cellStyle name="SAPBEXfilterDrill 12" xfId="865" xr:uid="{00000000-0005-0000-0000-00004A030000}"/>
    <cellStyle name="SAPBEXfilterDrill 2" xfId="866" xr:uid="{00000000-0005-0000-0000-00004B030000}"/>
    <cellStyle name="SAPBEXfilterDrill 2 10" xfId="867" xr:uid="{00000000-0005-0000-0000-00004C030000}"/>
    <cellStyle name="SAPBEXfilterDrill 2 2" xfId="868" xr:uid="{00000000-0005-0000-0000-00004D030000}"/>
    <cellStyle name="SAPBEXfilterDrill 2 3" xfId="869" xr:uid="{00000000-0005-0000-0000-00004E030000}"/>
    <cellStyle name="SAPBEXfilterDrill 2 4" xfId="870" xr:uid="{00000000-0005-0000-0000-00004F030000}"/>
    <cellStyle name="SAPBEXfilterDrill 2 5" xfId="871" xr:uid="{00000000-0005-0000-0000-000050030000}"/>
    <cellStyle name="SAPBEXfilterDrill 2 6" xfId="872" xr:uid="{00000000-0005-0000-0000-000051030000}"/>
    <cellStyle name="SAPBEXfilterDrill 2 7" xfId="873" xr:uid="{00000000-0005-0000-0000-000052030000}"/>
    <cellStyle name="SAPBEXfilterDrill 2 8" xfId="874" xr:uid="{00000000-0005-0000-0000-000053030000}"/>
    <cellStyle name="SAPBEXfilterDrill 2 9" xfId="875" xr:uid="{00000000-0005-0000-0000-000054030000}"/>
    <cellStyle name="SAPBEXfilterDrill 3" xfId="876" xr:uid="{00000000-0005-0000-0000-000055030000}"/>
    <cellStyle name="SAPBEXfilterDrill 4" xfId="877" xr:uid="{00000000-0005-0000-0000-000056030000}"/>
    <cellStyle name="SAPBEXfilterDrill 5" xfId="878" xr:uid="{00000000-0005-0000-0000-000057030000}"/>
    <cellStyle name="SAPBEXfilterDrill 6" xfId="879" xr:uid="{00000000-0005-0000-0000-000058030000}"/>
    <cellStyle name="SAPBEXfilterDrill 7" xfId="880" xr:uid="{00000000-0005-0000-0000-000059030000}"/>
    <cellStyle name="SAPBEXfilterDrill 8" xfId="881" xr:uid="{00000000-0005-0000-0000-00005A030000}"/>
    <cellStyle name="SAPBEXfilterDrill 9" xfId="882" xr:uid="{00000000-0005-0000-0000-00005B030000}"/>
    <cellStyle name="SAPBEXfilterItem" xfId="36" xr:uid="{00000000-0005-0000-0000-00005C030000}"/>
    <cellStyle name="SAPBEXfilterItem 10" xfId="883" xr:uid="{00000000-0005-0000-0000-00005D030000}"/>
    <cellStyle name="SAPBEXfilterItem 11" xfId="884" xr:uid="{00000000-0005-0000-0000-00005E030000}"/>
    <cellStyle name="SAPBEXfilterItem 12" xfId="885" xr:uid="{00000000-0005-0000-0000-00005F030000}"/>
    <cellStyle name="SAPBEXfilterItem 2" xfId="886" xr:uid="{00000000-0005-0000-0000-000060030000}"/>
    <cellStyle name="SAPBEXfilterItem 2 10" xfId="887" xr:uid="{00000000-0005-0000-0000-000061030000}"/>
    <cellStyle name="SAPBEXfilterItem 2 2" xfId="888" xr:uid="{00000000-0005-0000-0000-000062030000}"/>
    <cellStyle name="SAPBEXfilterItem 2 3" xfId="889" xr:uid="{00000000-0005-0000-0000-000063030000}"/>
    <cellStyle name="SAPBEXfilterItem 2 4" xfId="890" xr:uid="{00000000-0005-0000-0000-000064030000}"/>
    <cellStyle name="SAPBEXfilterItem 2 5" xfId="891" xr:uid="{00000000-0005-0000-0000-000065030000}"/>
    <cellStyle name="SAPBEXfilterItem 2 6" xfId="892" xr:uid="{00000000-0005-0000-0000-000066030000}"/>
    <cellStyle name="SAPBEXfilterItem 2 7" xfId="893" xr:uid="{00000000-0005-0000-0000-000067030000}"/>
    <cellStyle name="SAPBEXfilterItem 2 8" xfId="894" xr:uid="{00000000-0005-0000-0000-000068030000}"/>
    <cellStyle name="SAPBEXfilterItem 2 9" xfId="895" xr:uid="{00000000-0005-0000-0000-000069030000}"/>
    <cellStyle name="SAPBEXfilterItem 3" xfId="896" xr:uid="{00000000-0005-0000-0000-00006A030000}"/>
    <cellStyle name="SAPBEXfilterItem 4" xfId="897" xr:uid="{00000000-0005-0000-0000-00006B030000}"/>
    <cellStyle name="SAPBEXfilterItem 5" xfId="898" xr:uid="{00000000-0005-0000-0000-00006C030000}"/>
    <cellStyle name="SAPBEXfilterItem 6" xfId="899" xr:uid="{00000000-0005-0000-0000-00006D030000}"/>
    <cellStyle name="SAPBEXfilterItem 7" xfId="900" xr:uid="{00000000-0005-0000-0000-00006E030000}"/>
    <cellStyle name="SAPBEXfilterItem 8" xfId="901" xr:uid="{00000000-0005-0000-0000-00006F030000}"/>
    <cellStyle name="SAPBEXfilterItem 9" xfId="902" xr:uid="{00000000-0005-0000-0000-000070030000}"/>
    <cellStyle name="SAPBEXfilterText" xfId="37" xr:uid="{00000000-0005-0000-0000-000071030000}"/>
    <cellStyle name="SAPBEXfilterText 10" xfId="903" xr:uid="{00000000-0005-0000-0000-000072030000}"/>
    <cellStyle name="SAPBEXfilterText 11" xfId="904" xr:uid="{00000000-0005-0000-0000-000073030000}"/>
    <cellStyle name="SAPBEXfilterText 12" xfId="905" xr:uid="{00000000-0005-0000-0000-000074030000}"/>
    <cellStyle name="SAPBEXfilterText 2" xfId="906" xr:uid="{00000000-0005-0000-0000-000075030000}"/>
    <cellStyle name="SAPBEXfilterText 2 10" xfId="907" xr:uid="{00000000-0005-0000-0000-000076030000}"/>
    <cellStyle name="SAPBEXfilterText 2 2" xfId="908" xr:uid="{00000000-0005-0000-0000-000077030000}"/>
    <cellStyle name="SAPBEXfilterText 2 3" xfId="909" xr:uid="{00000000-0005-0000-0000-000078030000}"/>
    <cellStyle name="SAPBEXfilterText 2 4" xfId="910" xr:uid="{00000000-0005-0000-0000-000079030000}"/>
    <cellStyle name="SAPBEXfilterText 2 5" xfId="911" xr:uid="{00000000-0005-0000-0000-00007A030000}"/>
    <cellStyle name="SAPBEXfilterText 2 6" xfId="912" xr:uid="{00000000-0005-0000-0000-00007B030000}"/>
    <cellStyle name="SAPBEXfilterText 2 7" xfId="913" xr:uid="{00000000-0005-0000-0000-00007C030000}"/>
    <cellStyle name="SAPBEXfilterText 2 8" xfId="914" xr:uid="{00000000-0005-0000-0000-00007D030000}"/>
    <cellStyle name="SAPBEXfilterText 2 9" xfId="915" xr:uid="{00000000-0005-0000-0000-00007E030000}"/>
    <cellStyle name="SAPBEXfilterText 3" xfId="916" xr:uid="{00000000-0005-0000-0000-00007F030000}"/>
    <cellStyle name="SAPBEXfilterText 4" xfId="917" xr:uid="{00000000-0005-0000-0000-000080030000}"/>
    <cellStyle name="SAPBEXfilterText 5" xfId="918" xr:uid="{00000000-0005-0000-0000-000081030000}"/>
    <cellStyle name="SAPBEXfilterText 6" xfId="919" xr:uid="{00000000-0005-0000-0000-000082030000}"/>
    <cellStyle name="SAPBEXfilterText 7" xfId="920" xr:uid="{00000000-0005-0000-0000-000083030000}"/>
    <cellStyle name="SAPBEXfilterText 8" xfId="921" xr:uid="{00000000-0005-0000-0000-000084030000}"/>
    <cellStyle name="SAPBEXfilterText 9" xfId="922" xr:uid="{00000000-0005-0000-0000-000085030000}"/>
    <cellStyle name="SAPBEXformats" xfId="38" xr:uid="{00000000-0005-0000-0000-000086030000}"/>
    <cellStyle name="SAPBEXformats 10" xfId="923" xr:uid="{00000000-0005-0000-0000-000087030000}"/>
    <cellStyle name="SAPBEXformats 11" xfId="924" xr:uid="{00000000-0005-0000-0000-000088030000}"/>
    <cellStyle name="SAPBEXformats 12" xfId="925" xr:uid="{00000000-0005-0000-0000-000089030000}"/>
    <cellStyle name="SAPBEXformats 2" xfId="926" xr:uid="{00000000-0005-0000-0000-00008A030000}"/>
    <cellStyle name="SAPBEXformats 2 10" xfId="927" xr:uid="{00000000-0005-0000-0000-00008B030000}"/>
    <cellStyle name="SAPBEXformats 2 2" xfId="928" xr:uid="{00000000-0005-0000-0000-00008C030000}"/>
    <cellStyle name="SAPBEXformats 2 3" xfId="929" xr:uid="{00000000-0005-0000-0000-00008D030000}"/>
    <cellStyle name="SAPBEXformats 2 4" xfId="930" xr:uid="{00000000-0005-0000-0000-00008E030000}"/>
    <cellStyle name="SAPBEXformats 2 5" xfId="931" xr:uid="{00000000-0005-0000-0000-00008F030000}"/>
    <cellStyle name="SAPBEXformats 2 6" xfId="932" xr:uid="{00000000-0005-0000-0000-000090030000}"/>
    <cellStyle name="SAPBEXformats 2 7" xfId="933" xr:uid="{00000000-0005-0000-0000-000091030000}"/>
    <cellStyle name="SAPBEXformats 2 8" xfId="934" xr:uid="{00000000-0005-0000-0000-000092030000}"/>
    <cellStyle name="SAPBEXformats 2 9" xfId="935" xr:uid="{00000000-0005-0000-0000-000093030000}"/>
    <cellStyle name="SAPBEXformats 3" xfId="936" xr:uid="{00000000-0005-0000-0000-000094030000}"/>
    <cellStyle name="SAPBEXformats 4" xfId="937" xr:uid="{00000000-0005-0000-0000-000095030000}"/>
    <cellStyle name="SAPBEXformats 5" xfId="938" xr:uid="{00000000-0005-0000-0000-000096030000}"/>
    <cellStyle name="SAPBEXformats 6" xfId="939" xr:uid="{00000000-0005-0000-0000-000097030000}"/>
    <cellStyle name="SAPBEXformats 7" xfId="940" xr:uid="{00000000-0005-0000-0000-000098030000}"/>
    <cellStyle name="SAPBEXformats 8" xfId="941" xr:uid="{00000000-0005-0000-0000-000099030000}"/>
    <cellStyle name="SAPBEXformats 9" xfId="942" xr:uid="{00000000-0005-0000-0000-00009A030000}"/>
    <cellStyle name="SAPBEXheaderItem" xfId="39" xr:uid="{00000000-0005-0000-0000-00009B030000}"/>
    <cellStyle name="SAPBEXheaderItem 10" xfId="943" xr:uid="{00000000-0005-0000-0000-00009C030000}"/>
    <cellStyle name="SAPBEXheaderItem 11" xfId="944" xr:uid="{00000000-0005-0000-0000-00009D030000}"/>
    <cellStyle name="SAPBEXheaderItem 12" xfId="945" xr:uid="{00000000-0005-0000-0000-00009E030000}"/>
    <cellStyle name="SAPBEXheaderItem 2" xfId="946" xr:uid="{00000000-0005-0000-0000-00009F030000}"/>
    <cellStyle name="SAPBEXheaderItem 2 10" xfId="947" xr:uid="{00000000-0005-0000-0000-0000A0030000}"/>
    <cellStyle name="SAPBEXheaderItem 2 2" xfId="948" xr:uid="{00000000-0005-0000-0000-0000A1030000}"/>
    <cellStyle name="SAPBEXheaderItem 2 3" xfId="949" xr:uid="{00000000-0005-0000-0000-0000A2030000}"/>
    <cellStyle name="SAPBEXheaderItem 2 4" xfId="950" xr:uid="{00000000-0005-0000-0000-0000A3030000}"/>
    <cellStyle name="SAPBEXheaderItem 2 5" xfId="951" xr:uid="{00000000-0005-0000-0000-0000A4030000}"/>
    <cellStyle name="SAPBEXheaderItem 2 6" xfId="952" xr:uid="{00000000-0005-0000-0000-0000A5030000}"/>
    <cellStyle name="SAPBEXheaderItem 2 7" xfId="953" xr:uid="{00000000-0005-0000-0000-0000A6030000}"/>
    <cellStyle name="SAPBEXheaderItem 2 8" xfId="954" xr:uid="{00000000-0005-0000-0000-0000A7030000}"/>
    <cellStyle name="SAPBEXheaderItem 2 9" xfId="955" xr:uid="{00000000-0005-0000-0000-0000A8030000}"/>
    <cellStyle name="SAPBEXheaderItem 3" xfId="956" xr:uid="{00000000-0005-0000-0000-0000A9030000}"/>
    <cellStyle name="SAPBEXheaderItem 4" xfId="957" xr:uid="{00000000-0005-0000-0000-0000AA030000}"/>
    <cellStyle name="SAPBEXheaderItem 5" xfId="958" xr:uid="{00000000-0005-0000-0000-0000AB030000}"/>
    <cellStyle name="SAPBEXheaderItem 6" xfId="959" xr:uid="{00000000-0005-0000-0000-0000AC030000}"/>
    <cellStyle name="SAPBEXheaderItem 7" xfId="960" xr:uid="{00000000-0005-0000-0000-0000AD030000}"/>
    <cellStyle name="SAPBEXheaderItem 8" xfId="961" xr:uid="{00000000-0005-0000-0000-0000AE030000}"/>
    <cellStyle name="SAPBEXheaderItem 9" xfId="962" xr:uid="{00000000-0005-0000-0000-0000AF030000}"/>
    <cellStyle name="SAPBEXheaderText" xfId="40" xr:uid="{00000000-0005-0000-0000-0000B0030000}"/>
    <cellStyle name="SAPBEXheaderText 10" xfId="963" xr:uid="{00000000-0005-0000-0000-0000B1030000}"/>
    <cellStyle name="SAPBEXheaderText 11" xfId="964" xr:uid="{00000000-0005-0000-0000-0000B2030000}"/>
    <cellStyle name="SAPBEXheaderText 12" xfId="965" xr:uid="{00000000-0005-0000-0000-0000B3030000}"/>
    <cellStyle name="SAPBEXheaderText 2" xfId="966" xr:uid="{00000000-0005-0000-0000-0000B4030000}"/>
    <cellStyle name="SAPBEXheaderText 2 10" xfId="967" xr:uid="{00000000-0005-0000-0000-0000B5030000}"/>
    <cellStyle name="SAPBEXheaderText 2 2" xfId="968" xr:uid="{00000000-0005-0000-0000-0000B6030000}"/>
    <cellStyle name="SAPBEXheaderText 2 3" xfId="969" xr:uid="{00000000-0005-0000-0000-0000B7030000}"/>
    <cellStyle name="SAPBEXheaderText 2 4" xfId="970" xr:uid="{00000000-0005-0000-0000-0000B8030000}"/>
    <cellStyle name="SAPBEXheaderText 2 5" xfId="971" xr:uid="{00000000-0005-0000-0000-0000B9030000}"/>
    <cellStyle name="SAPBEXheaderText 2 6" xfId="972" xr:uid="{00000000-0005-0000-0000-0000BA030000}"/>
    <cellStyle name="SAPBEXheaderText 2 7" xfId="973" xr:uid="{00000000-0005-0000-0000-0000BB030000}"/>
    <cellStyle name="SAPBEXheaderText 2 8" xfId="974" xr:uid="{00000000-0005-0000-0000-0000BC030000}"/>
    <cellStyle name="SAPBEXheaderText 2 9" xfId="975" xr:uid="{00000000-0005-0000-0000-0000BD030000}"/>
    <cellStyle name="SAPBEXheaderText 3" xfId="976" xr:uid="{00000000-0005-0000-0000-0000BE030000}"/>
    <cellStyle name="SAPBEXheaderText 4" xfId="977" xr:uid="{00000000-0005-0000-0000-0000BF030000}"/>
    <cellStyle name="SAPBEXheaderText 5" xfId="978" xr:uid="{00000000-0005-0000-0000-0000C0030000}"/>
    <cellStyle name="SAPBEXheaderText 6" xfId="979" xr:uid="{00000000-0005-0000-0000-0000C1030000}"/>
    <cellStyle name="SAPBEXheaderText 7" xfId="980" xr:uid="{00000000-0005-0000-0000-0000C2030000}"/>
    <cellStyle name="SAPBEXheaderText 8" xfId="981" xr:uid="{00000000-0005-0000-0000-0000C3030000}"/>
    <cellStyle name="SAPBEXheaderText 9" xfId="982" xr:uid="{00000000-0005-0000-0000-0000C4030000}"/>
    <cellStyle name="SAPBEXHLevel0" xfId="41" xr:uid="{00000000-0005-0000-0000-0000C5030000}"/>
    <cellStyle name="SAPBEXHLevel0 10" xfId="983" xr:uid="{00000000-0005-0000-0000-0000C6030000}"/>
    <cellStyle name="SAPBEXHLevel0 11" xfId="984" xr:uid="{00000000-0005-0000-0000-0000C7030000}"/>
    <cellStyle name="SAPBEXHLevel0 12" xfId="985" xr:uid="{00000000-0005-0000-0000-0000C8030000}"/>
    <cellStyle name="SAPBEXHLevel0 2" xfId="986" xr:uid="{00000000-0005-0000-0000-0000C9030000}"/>
    <cellStyle name="SAPBEXHLevel0 2 10" xfId="987" xr:uid="{00000000-0005-0000-0000-0000CA030000}"/>
    <cellStyle name="SAPBEXHLevel0 2 11" xfId="988" xr:uid="{00000000-0005-0000-0000-0000CB030000}"/>
    <cellStyle name="SAPBEXHLevel0 2 2" xfId="989" xr:uid="{00000000-0005-0000-0000-0000CC030000}"/>
    <cellStyle name="SAPBEXHLevel0 2 3" xfId="990" xr:uid="{00000000-0005-0000-0000-0000CD030000}"/>
    <cellStyle name="SAPBEXHLevel0 2 4" xfId="991" xr:uid="{00000000-0005-0000-0000-0000CE030000}"/>
    <cellStyle name="SAPBEXHLevel0 2 5" xfId="992" xr:uid="{00000000-0005-0000-0000-0000CF030000}"/>
    <cellStyle name="SAPBEXHLevel0 2 6" xfId="993" xr:uid="{00000000-0005-0000-0000-0000D0030000}"/>
    <cellStyle name="SAPBEXHLevel0 2 7" xfId="994" xr:uid="{00000000-0005-0000-0000-0000D1030000}"/>
    <cellStyle name="SAPBEXHLevel0 2 8" xfId="995" xr:uid="{00000000-0005-0000-0000-0000D2030000}"/>
    <cellStyle name="SAPBEXHLevel0 2 9" xfId="996" xr:uid="{00000000-0005-0000-0000-0000D3030000}"/>
    <cellStyle name="SAPBEXHLevel0 3" xfId="997" xr:uid="{00000000-0005-0000-0000-0000D4030000}"/>
    <cellStyle name="SAPBEXHLevel0 4" xfId="998" xr:uid="{00000000-0005-0000-0000-0000D5030000}"/>
    <cellStyle name="SAPBEXHLevel0 5" xfId="999" xr:uid="{00000000-0005-0000-0000-0000D6030000}"/>
    <cellStyle name="SAPBEXHLevel0 6" xfId="1000" xr:uid="{00000000-0005-0000-0000-0000D7030000}"/>
    <cellStyle name="SAPBEXHLevel0 7" xfId="1001" xr:uid="{00000000-0005-0000-0000-0000D8030000}"/>
    <cellStyle name="SAPBEXHLevel0 8" xfId="1002" xr:uid="{00000000-0005-0000-0000-0000D9030000}"/>
    <cellStyle name="SAPBEXHLevel0 9" xfId="1003" xr:uid="{00000000-0005-0000-0000-0000DA030000}"/>
    <cellStyle name="SAPBEXHLevel0X" xfId="42" xr:uid="{00000000-0005-0000-0000-0000DB030000}"/>
    <cellStyle name="SAPBEXHLevel0X 10" xfId="1004" xr:uid="{00000000-0005-0000-0000-0000DC030000}"/>
    <cellStyle name="SAPBEXHLevel0X 11" xfId="1005" xr:uid="{00000000-0005-0000-0000-0000DD030000}"/>
    <cellStyle name="SAPBEXHLevel0X 12" xfId="1006" xr:uid="{00000000-0005-0000-0000-0000DE030000}"/>
    <cellStyle name="SAPBEXHLevel0X 2" xfId="1007" xr:uid="{00000000-0005-0000-0000-0000DF030000}"/>
    <cellStyle name="SAPBEXHLevel0X 2 10" xfId="1008" xr:uid="{00000000-0005-0000-0000-0000E0030000}"/>
    <cellStyle name="SAPBEXHLevel0X 2 2" xfId="1009" xr:uid="{00000000-0005-0000-0000-0000E1030000}"/>
    <cellStyle name="SAPBEXHLevel0X 2 3" xfId="1010" xr:uid="{00000000-0005-0000-0000-0000E2030000}"/>
    <cellStyle name="SAPBEXHLevel0X 2 4" xfId="1011" xr:uid="{00000000-0005-0000-0000-0000E3030000}"/>
    <cellStyle name="SAPBEXHLevel0X 2 5" xfId="1012" xr:uid="{00000000-0005-0000-0000-0000E4030000}"/>
    <cellStyle name="SAPBEXHLevel0X 2 6" xfId="1013" xr:uid="{00000000-0005-0000-0000-0000E5030000}"/>
    <cellStyle name="SAPBEXHLevel0X 2 7" xfId="1014" xr:uid="{00000000-0005-0000-0000-0000E6030000}"/>
    <cellStyle name="SAPBEXHLevel0X 2 8" xfId="1015" xr:uid="{00000000-0005-0000-0000-0000E7030000}"/>
    <cellStyle name="SAPBEXHLevel0X 2 9" xfId="1016" xr:uid="{00000000-0005-0000-0000-0000E8030000}"/>
    <cellStyle name="SAPBEXHLevel0X 3" xfId="1017" xr:uid="{00000000-0005-0000-0000-0000E9030000}"/>
    <cellStyle name="SAPBEXHLevel0X 4" xfId="1018" xr:uid="{00000000-0005-0000-0000-0000EA030000}"/>
    <cellStyle name="SAPBEXHLevel0X 5" xfId="1019" xr:uid="{00000000-0005-0000-0000-0000EB030000}"/>
    <cellStyle name="SAPBEXHLevel0X 6" xfId="1020" xr:uid="{00000000-0005-0000-0000-0000EC030000}"/>
    <cellStyle name="SAPBEXHLevel0X 7" xfId="1021" xr:uid="{00000000-0005-0000-0000-0000ED030000}"/>
    <cellStyle name="SAPBEXHLevel0X 8" xfId="1022" xr:uid="{00000000-0005-0000-0000-0000EE030000}"/>
    <cellStyle name="SAPBEXHLevel0X 9" xfId="1023" xr:uid="{00000000-0005-0000-0000-0000EF030000}"/>
    <cellStyle name="SAPBEXHLevel1" xfId="43" xr:uid="{00000000-0005-0000-0000-0000F0030000}"/>
    <cellStyle name="SAPBEXHLevel1 10" xfId="1024" xr:uid="{00000000-0005-0000-0000-0000F1030000}"/>
    <cellStyle name="SAPBEXHLevel1 11" xfId="1025" xr:uid="{00000000-0005-0000-0000-0000F2030000}"/>
    <cellStyle name="SAPBEXHLevel1 12" xfId="1026" xr:uid="{00000000-0005-0000-0000-0000F3030000}"/>
    <cellStyle name="SAPBEXHLevel1 2" xfId="1027" xr:uid="{00000000-0005-0000-0000-0000F4030000}"/>
    <cellStyle name="SAPBEXHLevel1 2 10" xfId="1028" xr:uid="{00000000-0005-0000-0000-0000F5030000}"/>
    <cellStyle name="SAPBEXHLevel1 2 11" xfId="1029" xr:uid="{00000000-0005-0000-0000-0000F6030000}"/>
    <cellStyle name="SAPBEXHLevel1 2 2" xfId="1030" xr:uid="{00000000-0005-0000-0000-0000F7030000}"/>
    <cellStyle name="SAPBEXHLevel1 2 3" xfId="1031" xr:uid="{00000000-0005-0000-0000-0000F8030000}"/>
    <cellStyle name="SAPBEXHLevel1 2 4" xfId="1032" xr:uid="{00000000-0005-0000-0000-0000F9030000}"/>
    <cellStyle name="SAPBEXHLevel1 2 5" xfId="1033" xr:uid="{00000000-0005-0000-0000-0000FA030000}"/>
    <cellStyle name="SAPBEXHLevel1 2 6" xfId="1034" xr:uid="{00000000-0005-0000-0000-0000FB030000}"/>
    <cellStyle name="SAPBEXHLevel1 2 7" xfId="1035" xr:uid="{00000000-0005-0000-0000-0000FC030000}"/>
    <cellStyle name="SAPBEXHLevel1 2 8" xfId="1036" xr:uid="{00000000-0005-0000-0000-0000FD030000}"/>
    <cellStyle name="SAPBEXHLevel1 2 9" xfId="1037" xr:uid="{00000000-0005-0000-0000-0000FE030000}"/>
    <cellStyle name="SAPBEXHLevel1 3" xfId="1038" xr:uid="{00000000-0005-0000-0000-0000FF030000}"/>
    <cellStyle name="SAPBEXHLevel1 4" xfId="1039" xr:uid="{00000000-0005-0000-0000-000000040000}"/>
    <cellStyle name="SAPBEXHLevel1 5" xfId="1040" xr:uid="{00000000-0005-0000-0000-000001040000}"/>
    <cellStyle name="SAPBEXHLevel1 6" xfId="1041" xr:uid="{00000000-0005-0000-0000-000002040000}"/>
    <cellStyle name="SAPBEXHLevel1 7" xfId="1042" xr:uid="{00000000-0005-0000-0000-000003040000}"/>
    <cellStyle name="SAPBEXHLevel1 8" xfId="1043" xr:uid="{00000000-0005-0000-0000-000004040000}"/>
    <cellStyle name="SAPBEXHLevel1 9" xfId="1044" xr:uid="{00000000-0005-0000-0000-000005040000}"/>
    <cellStyle name="SAPBEXHLevel1X" xfId="44" xr:uid="{00000000-0005-0000-0000-000006040000}"/>
    <cellStyle name="SAPBEXHLevel1X 10" xfId="1045" xr:uid="{00000000-0005-0000-0000-000007040000}"/>
    <cellStyle name="SAPBEXHLevel1X 11" xfId="1046" xr:uid="{00000000-0005-0000-0000-000008040000}"/>
    <cellStyle name="SAPBEXHLevel1X 12" xfId="1047" xr:uid="{00000000-0005-0000-0000-000009040000}"/>
    <cellStyle name="SAPBEXHLevel1X 2" xfId="1048" xr:uid="{00000000-0005-0000-0000-00000A040000}"/>
    <cellStyle name="SAPBEXHLevel1X 2 10" xfId="1049" xr:uid="{00000000-0005-0000-0000-00000B040000}"/>
    <cellStyle name="SAPBEXHLevel1X 2 2" xfId="1050" xr:uid="{00000000-0005-0000-0000-00000C040000}"/>
    <cellStyle name="SAPBEXHLevel1X 2 3" xfId="1051" xr:uid="{00000000-0005-0000-0000-00000D040000}"/>
    <cellStyle name="SAPBEXHLevel1X 2 4" xfId="1052" xr:uid="{00000000-0005-0000-0000-00000E040000}"/>
    <cellStyle name="SAPBEXHLevel1X 2 5" xfId="1053" xr:uid="{00000000-0005-0000-0000-00000F040000}"/>
    <cellStyle name="SAPBEXHLevel1X 2 6" xfId="1054" xr:uid="{00000000-0005-0000-0000-000010040000}"/>
    <cellStyle name="SAPBEXHLevel1X 2 7" xfId="1055" xr:uid="{00000000-0005-0000-0000-000011040000}"/>
    <cellStyle name="SAPBEXHLevel1X 2 8" xfId="1056" xr:uid="{00000000-0005-0000-0000-000012040000}"/>
    <cellStyle name="SAPBEXHLevel1X 2 9" xfId="1057" xr:uid="{00000000-0005-0000-0000-000013040000}"/>
    <cellStyle name="SAPBEXHLevel1X 3" xfId="1058" xr:uid="{00000000-0005-0000-0000-000014040000}"/>
    <cellStyle name="SAPBEXHLevel1X 4" xfId="1059" xr:uid="{00000000-0005-0000-0000-000015040000}"/>
    <cellStyle name="SAPBEXHLevel1X 5" xfId="1060" xr:uid="{00000000-0005-0000-0000-000016040000}"/>
    <cellStyle name="SAPBEXHLevel1X 6" xfId="1061" xr:uid="{00000000-0005-0000-0000-000017040000}"/>
    <cellStyle name="SAPBEXHLevel1X 7" xfId="1062" xr:uid="{00000000-0005-0000-0000-000018040000}"/>
    <cellStyle name="SAPBEXHLevel1X 8" xfId="1063" xr:uid="{00000000-0005-0000-0000-000019040000}"/>
    <cellStyle name="SAPBEXHLevel1X 9" xfId="1064" xr:uid="{00000000-0005-0000-0000-00001A040000}"/>
    <cellStyle name="SAPBEXHLevel2" xfId="45" xr:uid="{00000000-0005-0000-0000-00001B040000}"/>
    <cellStyle name="SAPBEXHLevel2 10" xfId="1065" xr:uid="{00000000-0005-0000-0000-00001C040000}"/>
    <cellStyle name="SAPBEXHLevel2 11" xfId="1066" xr:uid="{00000000-0005-0000-0000-00001D040000}"/>
    <cellStyle name="SAPBEXHLevel2 12" xfId="1067" xr:uid="{00000000-0005-0000-0000-00001E040000}"/>
    <cellStyle name="SAPBEXHLevel2 2" xfId="1068" xr:uid="{00000000-0005-0000-0000-00001F040000}"/>
    <cellStyle name="SAPBEXHLevel2 2 10" xfId="1069" xr:uid="{00000000-0005-0000-0000-000020040000}"/>
    <cellStyle name="SAPBEXHLevel2 2 2" xfId="1070" xr:uid="{00000000-0005-0000-0000-000021040000}"/>
    <cellStyle name="SAPBEXHLevel2 2 3" xfId="1071" xr:uid="{00000000-0005-0000-0000-000022040000}"/>
    <cellStyle name="SAPBEXHLevel2 2 4" xfId="1072" xr:uid="{00000000-0005-0000-0000-000023040000}"/>
    <cellStyle name="SAPBEXHLevel2 2 5" xfId="1073" xr:uid="{00000000-0005-0000-0000-000024040000}"/>
    <cellStyle name="SAPBEXHLevel2 2 6" xfId="1074" xr:uid="{00000000-0005-0000-0000-000025040000}"/>
    <cellStyle name="SAPBEXHLevel2 2 7" xfId="1075" xr:uid="{00000000-0005-0000-0000-000026040000}"/>
    <cellStyle name="SAPBEXHLevel2 2 8" xfId="1076" xr:uid="{00000000-0005-0000-0000-000027040000}"/>
    <cellStyle name="SAPBEXHLevel2 2 9" xfId="1077" xr:uid="{00000000-0005-0000-0000-000028040000}"/>
    <cellStyle name="SAPBEXHLevel2 3" xfId="1078" xr:uid="{00000000-0005-0000-0000-000029040000}"/>
    <cellStyle name="SAPBEXHLevel2 4" xfId="1079" xr:uid="{00000000-0005-0000-0000-00002A040000}"/>
    <cellStyle name="SAPBEXHLevel2 5" xfId="1080" xr:uid="{00000000-0005-0000-0000-00002B040000}"/>
    <cellStyle name="SAPBEXHLevel2 6" xfId="1081" xr:uid="{00000000-0005-0000-0000-00002C040000}"/>
    <cellStyle name="SAPBEXHLevel2 7" xfId="1082" xr:uid="{00000000-0005-0000-0000-00002D040000}"/>
    <cellStyle name="SAPBEXHLevel2 8" xfId="1083" xr:uid="{00000000-0005-0000-0000-00002E040000}"/>
    <cellStyle name="SAPBEXHLevel2 9" xfId="1084" xr:uid="{00000000-0005-0000-0000-00002F040000}"/>
    <cellStyle name="SAPBEXHLevel2X" xfId="46" xr:uid="{00000000-0005-0000-0000-000030040000}"/>
    <cellStyle name="SAPBEXHLevel2X 10" xfId="1085" xr:uid="{00000000-0005-0000-0000-000031040000}"/>
    <cellStyle name="SAPBEXHLevel2X 11" xfId="1086" xr:uid="{00000000-0005-0000-0000-000032040000}"/>
    <cellStyle name="SAPBEXHLevel2X 12" xfId="1087" xr:uid="{00000000-0005-0000-0000-000033040000}"/>
    <cellStyle name="SAPBEXHLevel2X 2" xfId="1088" xr:uid="{00000000-0005-0000-0000-000034040000}"/>
    <cellStyle name="SAPBEXHLevel2X 2 10" xfId="1089" xr:uid="{00000000-0005-0000-0000-000035040000}"/>
    <cellStyle name="SAPBEXHLevel2X 2 2" xfId="1090" xr:uid="{00000000-0005-0000-0000-000036040000}"/>
    <cellStyle name="SAPBEXHLevel2X 2 3" xfId="1091" xr:uid="{00000000-0005-0000-0000-000037040000}"/>
    <cellStyle name="SAPBEXHLevel2X 2 4" xfId="1092" xr:uid="{00000000-0005-0000-0000-000038040000}"/>
    <cellStyle name="SAPBEXHLevel2X 2 5" xfId="1093" xr:uid="{00000000-0005-0000-0000-000039040000}"/>
    <cellStyle name="SAPBEXHLevel2X 2 6" xfId="1094" xr:uid="{00000000-0005-0000-0000-00003A040000}"/>
    <cellStyle name="SAPBEXHLevel2X 2 7" xfId="1095" xr:uid="{00000000-0005-0000-0000-00003B040000}"/>
    <cellStyle name="SAPBEXHLevel2X 2 8" xfId="1096" xr:uid="{00000000-0005-0000-0000-00003C040000}"/>
    <cellStyle name="SAPBEXHLevel2X 2 9" xfId="1097" xr:uid="{00000000-0005-0000-0000-00003D040000}"/>
    <cellStyle name="SAPBEXHLevel2X 3" xfId="1098" xr:uid="{00000000-0005-0000-0000-00003E040000}"/>
    <cellStyle name="SAPBEXHLevel2X 4" xfId="1099" xr:uid="{00000000-0005-0000-0000-00003F040000}"/>
    <cellStyle name="SAPBEXHLevel2X 5" xfId="1100" xr:uid="{00000000-0005-0000-0000-000040040000}"/>
    <cellStyle name="SAPBEXHLevel2X 6" xfId="1101" xr:uid="{00000000-0005-0000-0000-000041040000}"/>
    <cellStyle name="SAPBEXHLevel2X 7" xfId="1102" xr:uid="{00000000-0005-0000-0000-000042040000}"/>
    <cellStyle name="SAPBEXHLevel2X 8" xfId="1103" xr:uid="{00000000-0005-0000-0000-000043040000}"/>
    <cellStyle name="SAPBEXHLevel2X 9" xfId="1104" xr:uid="{00000000-0005-0000-0000-000044040000}"/>
    <cellStyle name="SAPBEXHLevel3" xfId="47" xr:uid="{00000000-0005-0000-0000-000045040000}"/>
    <cellStyle name="SAPBEXHLevel3 10" xfId="1105" xr:uid="{00000000-0005-0000-0000-000046040000}"/>
    <cellStyle name="SAPBEXHLevel3 11" xfId="1106" xr:uid="{00000000-0005-0000-0000-000047040000}"/>
    <cellStyle name="SAPBEXHLevel3 12" xfId="1107" xr:uid="{00000000-0005-0000-0000-000048040000}"/>
    <cellStyle name="SAPBEXHLevel3 2" xfId="1108" xr:uid="{00000000-0005-0000-0000-000049040000}"/>
    <cellStyle name="SAPBEXHLevel3 2 10" xfId="1109" xr:uid="{00000000-0005-0000-0000-00004A040000}"/>
    <cellStyle name="SAPBEXHLevel3 2 2" xfId="1110" xr:uid="{00000000-0005-0000-0000-00004B040000}"/>
    <cellStyle name="SAPBEXHLevel3 2 3" xfId="1111" xr:uid="{00000000-0005-0000-0000-00004C040000}"/>
    <cellStyle name="SAPBEXHLevel3 2 4" xfId="1112" xr:uid="{00000000-0005-0000-0000-00004D040000}"/>
    <cellStyle name="SAPBEXHLevel3 2 5" xfId="1113" xr:uid="{00000000-0005-0000-0000-00004E040000}"/>
    <cellStyle name="SAPBEXHLevel3 2 6" xfId="1114" xr:uid="{00000000-0005-0000-0000-00004F040000}"/>
    <cellStyle name="SAPBEXHLevel3 2 7" xfId="1115" xr:uid="{00000000-0005-0000-0000-000050040000}"/>
    <cellStyle name="SAPBEXHLevel3 2 8" xfId="1116" xr:uid="{00000000-0005-0000-0000-000051040000}"/>
    <cellStyle name="SAPBEXHLevel3 2 9" xfId="1117" xr:uid="{00000000-0005-0000-0000-000052040000}"/>
    <cellStyle name="SAPBEXHLevel3 3" xfId="1118" xr:uid="{00000000-0005-0000-0000-000053040000}"/>
    <cellStyle name="SAPBEXHLevel3 4" xfId="1119" xr:uid="{00000000-0005-0000-0000-000054040000}"/>
    <cellStyle name="SAPBEXHLevel3 5" xfId="1120" xr:uid="{00000000-0005-0000-0000-000055040000}"/>
    <cellStyle name="SAPBEXHLevel3 6" xfId="1121" xr:uid="{00000000-0005-0000-0000-000056040000}"/>
    <cellStyle name="SAPBEXHLevel3 7" xfId="1122" xr:uid="{00000000-0005-0000-0000-000057040000}"/>
    <cellStyle name="SAPBEXHLevel3 8" xfId="1123" xr:uid="{00000000-0005-0000-0000-000058040000}"/>
    <cellStyle name="SAPBEXHLevel3 9" xfId="1124" xr:uid="{00000000-0005-0000-0000-000059040000}"/>
    <cellStyle name="SAPBEXHLevel3X" xfId="48" xr:uid="{00000000-0005-0000-0000-00005A040000}"/>
    <cellStyle name="SAPBEXHLevel3X 10" xfId="1125" xr:uid="{00000000-0005-0000-0000-00005B040000}"/>
    <cellStyle name="SAPBEXHLevel3X 11" xfId="1126" xr:uid="{00000000-0005-0000-0000-00005C040000}"/>
    <cellStyle name="SAPBEXHLevel3X 12" xfId="1127" xr:uid="{00000000-0005-0000-0000-00005D040000}"/>
    <cellStyle name="SAPBEXHLevel3X 2" xfId="1128" xr:uid="{00000000-0005-0000-0000-00005E040000}"/>
    <cellStyle name="SAPBEXHLevel3X 2 10" xfId="1129" xr:uid="{00000000-0005-0000-0000-00005F040000}"/>
    <cellStyle name="SAPBEXHLevel3X 2 2" xfId="1130" xr:uid="{00000000-0005-0000-0000-000060040000}"/>
    <cellStyle name="SAPBEXHLevel3X 2 3" xfId="1131" xr:uid="{00000000-0005-0000-0000-000061040000}"/>
    <cellStyle name="SAPBEXHLevel3X 2 4" xfId="1132" xr:uid="{00000000-0005-0000-0000-000062040000}"/>
    <cellStyle name="SAPBEXHLevel3X 2 5" xfId="1133" xr:uid="{00000000-0005-0000-0000-000063040000}"/>
    <cellStyle name="SAPBEXHLevel3X 2 6" xfId="1134" xr:uid="{00000000-0005-0000-0000-000064040000}"/>
    <cellStyle name="SAPBEXHLevel3X 2 7" xfId="1135" xr:uid="{00000000-0005-0000-0000-000065040000}"/>
    <cellStyle name="SAPBEXHLevel3X 2 8" xfId="1136" xr:uid="{00000000-0005-0000-0000-000066040000}"/>
    <cellStyle name="SAPBEXHLevel3X 2 9" xfId="1137" xr:uid="{00000000-0005-0000-0000-000067040000}"/>
    <cellStyle name="SAPBEXHLevel3X 3" xfId="1138" xr:uid="{00000000-0005-0000-0000-000068040000}"/>
    <cellStyle name="SAPBEXHLevel3X 4" xfId="1139" xr:uid="{00000000-0005-0000-0000-000069040000}"/>
    <cellStyle name="SAPBEXHLevel3X 5" xfId="1140" xr:uid="{00000000-0005-0000-0000-00006A040000}"/>
    <cellStyle name="SAPBEXHLevel3X 6" xfId="1141" xr:uid="{00000000-0005-0000-0000-00006B040000}"/>
    <cellStyle name="SAPBEXHLevel3X 7" xfId="1142" xr:uid="{00000000-0005-0000-0000-00006C040000}"/>
    <cellStyle name="SAPBEXHLevel3X 8" xfId="1143" xr:uid="{00000000-0005-0000-0000-00006D040000}"/>
    <cellStyle name="SAPBEXHLevel3X 9" xfId="1144" xr:uid="{00000000-0005-0000-0000-00006E040000}"/>
    <cellStyle name="SAPBEXchaText" xfId="10" xr:uid="{00000000-0005-0000-0000-00006F040000}"/>
    <cellStyle name="SAPBEXchaText 10" xfId="1145" xr:uid="{00000000-0005-0000-0000-000070040000}"/>
    <cellStyle name="SAPBEXchaText 11" xfId="1146" xr:uid="{00000000-0005-0000-0000-000071040000}"/>
    <cellStyle name="SAPBEXchaText 12" xfId="1147" xr:uid="{00000000-0005-0000-0000-000072040000}"/>
    <cellStyle name="SAPBEXchaText 2" xfId="1148" xr:uid="{00000000-0005-0000-0000-000073040000}"/>
    <cellStyle name="SAPBEXchaText 2 10" xfId="1149" xr:uid="{00000000-0005-0000-0000-000074040000}"/>
    <cellStyle name="SAPBEXchaText 2 11" xfId="1150" xr:uid="{00000000-0005-0000-0000-000075040000}"/>
    <cellStyle name="SAPBEXchaText 2 12" xfId="1151" xr:uid="{00000000-0005-0000-0000-000076040000}"/>
    <cellStyle name="SAPBEXchaText 2 2" xfId="1152" xr:uid="{00000000-0005-0000-0000-000077040000}"/>
    <cellStyle name="SAPBEXchaText 2 2 10" xfId="1153" xr:uid="{00000000-0005-0000-0000-000078040000}"/>
    <cellStyle name="SAPBEXchaText 2 2 2" xfId="1154" xr:uid="{00000000-0005-0000-0000-000079040000}"/>
    <cellStyle name="SAPBEXchaText 2 2 3" xfId="1155" xr:uid="{00000000-0005-0000-0000-00007A040000}"/>
    <cellStyle name="SAPBEXchaText 2 2 4" xfId="1156" xr:uid="{00000000-0005-0000-0000-00007B040000}"/>
    <cellStyle name="SAPBEXchaText 2 2 5" xfId="1157" xr:uid="{00000000-0005-0000-0000-00007C040000}"/>
    <cellStyle name="SAPBEXchaText 2 2 6" xfId="1158" xr:uid="{00000000-0005-0000-0000-00007D040000}"/>
    <cellStyle name="SAPBEXchaText 2 2 7" xfId="1159" xr:uid="{00000000-0005-0000-0000-00007E040000}"/>
    <cellStyle name="SAPBEXchaText 2 2 8" xfId="1160" xr:uid="{00000000-0005-0000-0000-00007F040000}"/>
    <cellStyle name="SAPBEXchaText 2 2 9" xfId="1161" xr:uid="{00000000-0005-0000-0000-000080040000}"/>
    <cellStyle name="SAPBEXchaText 2 3" xfId="1162" xr:uid="{00000000-0005-0000-0000-000081040000}"/>
    <cellStyle name="SAPBEXchaText 2 4" xfId="1163" xr:uid="{00000000-0005-0000-0000-000082040000}"/>
    <cellStyle name="SAPBEXchaText 2 5" xfId="1164" xr:uid="{00000000-0005-0000-0000-000083040000}"/>
    <cellStyle name="SAPBEXchaText 2 6" xfId="1165" xr:uid="{00000000-0005-0000-0000-000084040000}"/>
    <cellStyle name="SAPBEXchaText 2 7" xfId="1166" xr:uid="{00000000-0005-0000-0000-000085040000}"/>
    <cellStyle name="SAPBEXchaText 2 8" xfId="1167" xr:uid="{00000000-0005-0000-0000-000086040000}"/>
    <cellStyle name="SAPBEXchaText 2 9" xfId="1168" xr:uid="{00000000-0005-0000-0000-000087040000}"/>
    <cellStyle name="SAPBEXchaText 3" xfId="1169" xr:uid="{00000000-0005-0000-0000-000088040000}"/>
    <cellStyle name="SAPBEXchaText 3 10" xfId="1170" xr:uid="{00000000-0005-0000-0000-000089040000}"/>
    <cellStyle name="SAPBEXchaText 3 2" xfId="1171" xr:uid="{00000000-0005-0000-0000-00008A040000}"/>
    <cellStyle name="SAPBEXchaText 3 3" xfId="1172" xr:uid="{00000000-0005-0000-0000-00008B040000}"/>
    <cellStyle name="SAPBEXchaText 3 4" xfId="1173" xr:uid="{00000000-0005-0000-0000-00008C040000}"/>
    <cellStyle name="SAPBEXchaText 3 5" xfId="1174" xr:uid="{00000000-0005-0000-0000-00008D040000}"/>
    <cellStyle name="SAPBEXchaText 3 6" xfId="1175" xr:uid="{00000000-0005-0000-0000-00008E040000}"/>
    <cellStyle name="SAPBEXchaText 3 7" xfId="1176" xr:uid="{00000000-0005-0000-0000-00008F040000}"/>
    <cellStyle name="SAPBEXchaText 3 8" xfId="1177" xr:uid="{00000000-0005-0000-0000-000090040000}"/>
    <cellStyle name="SAPBEXchaText 3 9" xfId="1178" xr:uid="{00000000-0005-0000-0000-000091040000}"/>
    <cellStyle name="SAPBEXchaText 4" xfId="1179" xr:uid="{00000000-0005-0000-0000-000092040000}"/>
    <cellStyle name="SAPBEXchaText 5" xfId="1180" xr:uid="{00000000-0005-0000-0000-000093040000}"/>
    <cellStyle name="SAPBEXchaText 6" xfId="1181" xr:uid="{00000000-0005-0000-0000-000094040000}"/>
    <cellStyle name="SAPBEXchaText 7" xfId="1182" xr:uid="{00000000-0005-0000-0000-000095040000}"/>
    <cellStyle name="SAPBEXchaText 8" xfId="1183" xr:uid="{00000000-0005-0000-0000-000096040000}"/>
    <cellStyle name="SAPBEXchaText 9" xfId="1184" xr:uid="{00000000-0005-0000-0000-000097040000}"/>
    <cellStyle name="SAPBEXchaText_Výkaz 13-D3a _2011_jk" xfId="1185" xr:uid="{00000000-0005-0000-0000-000098040000}"/>
    <cellStyle name="SAPBEXinputData" xfId="1186" xr:uid="{00000000-0005-0000-0000-000099040000}"/>
    <cellStyle name="SAPBEXinputData 2" xfId="1187" xr:uid="{00000000-0005-0000-0000-00009A040000}"/>
    <cellStyle name="SAPBEXItemHeader" xfId="1188" xr:uid="{00000000-0005-0000-0000-00009B040000}"/>
    <cellStyle name="SAPBEXItemHeader 10" xfId="1189" xr:uid="{00000000-0005-0000-0000-00009C040000}"/>
    <cellStyle name="SAPBEXItemHeader 11" xfId="1190" xr:uid="{00000000-0005-0000-0000-00009D040000}"/>
    <cellStyle name="SAPBEXItemHeader 2" xfId="1191" xr:uid="{00000000-0005-0000-0000-00009E040000}"/>
    <cellStyle name="SAPBEXItemHeader 2 10" xfId="1192" xr:uid="{00000000-0005-0000-0000-00009F040000}"/>
    <cellStyle name="SAPBEXItemHeader 2 2" xfId="1193" xr:uid="{00000000-0005-0000-0000-0000A0040000}"/>
    <cellStyle name="SAPBEXItemHeader 2 3" xfId="1194" xr:uid="{00000000-0005-0000-0000-0000A1040000}"/>
    <cellStyle name="SAPBEXItemHeader 2 4" xfId="1195" xr:uid="{00000000-0005-0000-0000-0000A2040000}"/>
    <cellStyle name="SAPBEXItemHeader 2 5" xfId="1196" xr:uid="{00000000-0005-0000-0000-0000A3040000}"/>
    <cellStyle name="SAPBEXItemHeader 2 6" xfId="1197" xr:uid="{00000000-0005-0000-0000-0000A4040000}"/>
    <cellStyle name="SAPBEXItemHeader 2 7" xfId="1198" xr:uid="{00000000-0005-0000-0000-0000A5040000}"/>
    <cellStyle name="SAPBEXItemHeader 2 8" xfId="1199" xr:uid="{00000000-0005-0000-0000-0000A6040000}"/>
    <cellStyle name="SAPBEXItemHeader 2 9" xfId="1200" xr:uid="{00000000-0005-0000-0000-0000A7040000}"/>
    <cellStyle name="SAPBEXItemHeader 3" xfId="1201" xr:uid="{00000000-0005-0000-0000-0000A8040000}"/>
    <cellStyle name="SAPBEXItemHeader 4" xfId="1202" xr:uid="{00000000-0005-0000-0000-0000A9040000}"/>
    <cellStyle name="SAPBEXItemHeader 5" xfId="1203" xr:uid="{00000000-0005-0000-0000-0000AA040000}"/>
    <cellStyle name="SAPBEXItemHeader 6" xfId="1204" xr:uid="{00000000-0005-0000-0000-0000AB040000}"/>
    <cellStyle name="SAPBEXItemHeader 7" xfId="1205" xr:uid="{00000000-0005-0000-0000-0000AC040000}"/>
    <cellStyle name="SAPBEXItemHeader 8" xfId="1206" xr:uid="{00000000-0005-0000-0000-0000AD040000}"/>
    <cellStyle name="SAPBEXItemHeader 9" xfId="1207" xr:uid="{00000000-0005-0000-0000-0000AE040000}"/>
    <cellStyle name="SAPBEXresData" xfId="49" xr:uid="{00000000-0005-0000-0000-0000AF040000}"/>
    <cellStyle name="SAPBEXresData 10" xfId="1208" xr:uid="{00000000-0005-0000-0000-0000B0040000}"/>
    <cellStyle name="SAPBEXresData 11" xfId="1209" xr:uid="{00000000-0005-0000-0000-0000B1040000}"/>
    <cellStyle name="SAPBEXresData 12" xfId="1210" xr:uid="{00000000-0005-0000-0000-0000B2040000}"/>
    <cellStyle name="SAPBEXresData 2" xfId="1211" xr:uid="{00000000-0005-0000-0000-0000B3040000}"/>
    <cellStyle name="SAPBEXresData 2 10" xfId="1212" xr:uid="{00000000-0005-0000-0000-0000B4040000}"/>
    <cellStyle name="SAPBEXresData 2 2" xfId="1213" xr:uid="{00000000-0005-0000-0000-0000B5040000}"/>
    <cellStyle name="SAPBEXresData 2 3" xfId="1214" xr:uid="{00000000-0005-0000-0000-0000B6040000}"/>
    <cellStyle name="SAPBEXresData 2 4" xfId="1215" xr:uid="{00000000-0005-0000-0000-0000B7040000}"/>
    <cellStyle name="SAPBEXresData 2 5" xfId="1216" xr:uid="{00000000-0005-0000-0000-0000B8040000}"/>
    <cellStyle name="SAPBEXresData 2 6" xfId="1217" xr:uid="{00000000-0005-0000-0000-0000B9040000}"/>
    <cellStyle name="SAPBEXresData 2 7" xfId="1218" xr:uid="{00000000-0005-0000-0000-0000BA040000}"/>
    <cellStyle name="SAPBEXresData 2 8" xfId="1219" xr:uid="{00000000-0005-0000-0000-0000BB040000}"/>
    <cellStyle name="SAPBEXresData 2 9" xfId="1220" xr:uid="{00000000-0005-0000-0000-0000BC040000}"/>
    <cellStyle name="SAPBEXresData 3" xfId="1221" xr:uid="{00000000-0005-0000-0000-0000BD040000}"/>
    <cellStyle name="SAPBEXresData 4" xfId="1222" xr:uid="{00000000-0005-0000-0000-0000BE040000}"/>
    <cellStyle name="SAPBEXresData 5" xfId="1223" xr:uid="{00000000-0005-0000-0000-0000BF040000}"/>
    <cellStyle name="SAPBEXresData 6" xfId="1224" xr:uid="{00000000-0005-0000-0000-0000C0040000}"/>
    <cellStyle name="SAPBEXresData 7" xfId="1225" xr:uid="{00000000-0005-0000-0000-0000C1040000}"/>
    <cellStyle name="SAPBEXresData 8" xfId="1226" xr:uid="{00000000-0005-0000-0000-0000C2040000}"/>
    <cellStyle name="SAPBEXresData 9" xfId="1227" xr:uid="{00000000-0005-0000-0000-0000C3040000}"/>
    <cellStyle name="SAPBEXresDataEmph" xfId="50" xr:uid="{00000000-0005-0000-0000-0000C4040000}"/>
    <cellStyle name="SAPBEXresDataEmph 2" xfId="1228" xr:uid="{00000000-0005-0000-0000-0000C5040000}"/>
    <cellStyle name="SAPBEXresDataEmph 2 2" xfId="1229" xr:uid="{00000000-0005-0000-0000-0000C6040000}"/>
    <cellStyle name="SAPBEXresDataEmph 2 3" xfId="1230" xr:uid="{00000000-0005-0000-0000-0000C7040000}"/>
    <cellStyle name="SAPBEXresDataEmph 2 4" xfId="1231" xr:uid="{00000000-0005-0000-0000-0000C8040000}"/>
    <cellStyle name="SAPBEXresDataEmph 2 5" xfId="1232" xr:uid="{00000000-0005-0000-0000-0000C9040000}"/>
    <cellStyle name="SAPBEXresDataEmph 2 6" xfId="1233" xr:uid="{00000000-0005-0000-0000-0000CA040000}"/>
    <cellStyle name="SAPBEXresDataEmph 2 7" xfId="1234" xr:uid="{00000000-0005-0000-0000-0000CB040000}"/>
    <cellStyle name="SAPBEXresDataEmph 3" xfId="1235" xr:uid="{00000000-0005-0000-0000-0000CC040000}"/>
    <cellStyle name="SAPBEXresDataEmph 4" xfId="1236" xr:uid="{00000000-0005-0000-0000-0000CD040000}"/>
    <cellStyle name="SAPBEXresDataEmph 5" xfId="1237" xr:uid="{00000000-0005-0000-0000-0000CE040000}"/>
    <cellStyle name="SAPBEXresDataEmph 6" xfId="1238" xr:uid="{00000000-0005-0000-0000-0000CF040000}"/>
    <cellStyle name="SAPBEXresDataEmph 7" xfId="1239" xr:uid="{00000000-0005-0000-0000-0000D0040000}"/>
    <cellStyle name="SAPBEXresDataEmph 8" xfId="1240" xr:uid="{00000000-0005-0000-0000-0000D1040000}"/>
    <cellStyle name="SAPBEXresDataEmph 9" xfId="1241" xr:uid="{00000000-0005-0000-0000-0000D2040000}"/>
    <cellStyle name="SAPBEXresItem" xfId="51" xr:uid="{00000000-0005-0000-0000-0000D3040000}"/>
    <cellStyle name="SAPBEXresItem 10" xfId="1242" xr:uid="{00000000-0005-0000-0000-0000D4040000}"/>
    <cellStyle name="SAPBEXresItem 11" xfId="1243" xr:uid="{00000000-0005-0000-0000-0000D5040000}"/>
    <cellStyle name="SAPBEXresItem 12" xfId="1244" xr:uid="{00000000-0005-0000-0000-0000D6040000}"/>
    <cellStyle name="SAPBEXresItem 2" xfId="1245" xr:uid="{00000000-0005-0000-0000-0000D7040000}"/>
    <cellStyle name="SAPBEXresItem 2 10" xfId="1246" xr:uid="{00000000-0005-0000-0000-0000D8040000}"/>
    <cellStyle name="SAPBEXresItem 2 2" xfId="1247" xr:uid="{00000000-0005-0000-0000-0000D9040000}"/>
    <cellStyle name="SAPBEXresItem 2 3" xfId="1248" xr:uid="{00000000-0005-0000-0000-0000DA040000}"/>
    <cellStyle name="SAPBEXresItem 2 4" xfId="1249" xr:uid="{00000000-0005-0000-0000-0000DB040000}"/>
    <cellStyle name="SAPBEXresItem 2 5" xfId="1250" xr:uid="{00000000-0005-0000-0000-0000DC040000}"/>
    <cellStyle name="SAPBEXresItem 2 6" xfId="1251" xr:uid="{00000000-0005-0000-0000-0000DD040000}"/>
    <cellStyle name="SAPBEXresItem 2 7" xfId="1252" xr:uid="{00000000-0005-0000-0000-0000DE040000}"/>
    <cellStyle name="SAPBEXresItem 2 8" xfId="1253" xr:uid="{00000000-0005-0000-0000-0000DF040000}"/>
    <cellStyle name="SAPBEXresItem 2 9" xfId="1254" xr:uid="{00000000-0005-0000-0000-0000E0040000}"/>
    <cellStyle name="SAPBEXresItem 3" xfId="1255" xr:uid="{00000000-0005-0000-0000-0000E1040000}"/>
    <cellStyle name="SAPBEXresItem 4" xfId="1256" xr:uid="{00000000-0005-0000-0000-0000E2040000}"/>
    <cellStyle name="SAPBEXresItem 5" xfId="1257" xr:uid="{00000000-0005-0000-0000-0000E3040000}"/>
    <cellStyle name="SAPBEXresItem 6" xfId="1258" xr:uid="{00000000-0005-0000-0000-0000E4040000}"/>
    <cellStyle name="SAPBEXresItem 7" xfId="1259" xr:uid="{00000000-0005-0000-0000-0000E5040000}"/>
    <cellStyle name="SAPBEXresItem 8" xfId="1260" xr:uid="{00000000-0005-0000-0000-0000E6040000}"/>
    <cellStyle name="SAPBEXresItem 9" xfId="1261" xr:uid="{00000000-0005-0000-0000-0000E7040000}"/>
    <cellStyle name="SAPBEXresItemX" xfId="52" xr:uid="{00000000-0005-0000-0000-0000E8040000}"/>
    <cellStyle name="SAPBEXresItemX 10" xfId="1262" xr:uid="{00000000-0005-0000-0000-0000E9040000}"/>
    <cellStyle name="SAPBEXresItemX 11" xfId="1263" xr:uid="{00000000-0005-0000-0000-0000EA040000}"/>
    <cellStyle name="SAPBEXresItemX 12" xfId="1264" xr:uid="{00000000-0005-0000-0000-0000EB040000}"/>
    <cellStyle name="SAPBEXresItemX 2" xfId="1265" xr:uid="{00000000-0005-0000-0000-0000EC040000}"/>
    <cellStyle name="SAPBEXresItemX 2 10" xfId="1266" xr:uid="{00000000-0005-0000-0000-0000ED040000}"/>
    <cellStyle name="SAPBEXresItemX 2 2" xfId="1267" xr:uid="{00000000-0005-0000-0000-0000EE040000}"/>
    <cellStyle name="SAPBEXresItemX 2 3" xfId="1268" xr:uid="{00000000-0005-0000-0000-0000EF040000}"/>
    <cellStyle name="SAPBEXresItemX 2 4" xfId="1269" xr:uid="{00000000-0005-0000-0000-0000F0040000}"/>
    <cellStyle name="SAPBEXresItemX 2 5" xfId="1270" xr:uid="{00000000-0005-0000-0000-0000F1040000}"/>
    <cellStyle name="SAPBEXresItemX 2 6" xfId="1271" xr:uid="{00000000-0005-0000-0000-0000F2040000}"/>
    <cellStyle name="SAPBEXresItemX 2 7" xfId="1272" xr:uid="{00000000-0005-0000-0000-0000F3040000}"/>
    <cellStyle name="SAPBEXresItemX 2 8" xfId="1273" xr:uid="{00000000-0005-0000-0000-0000F4040000}"/>
    <cellStyle name="SAPBEXresItemX 2 9" xfId="1274" xr:uid="{00000000-0005-0000-0000-0000F5040000}"/>
    <cellStyle name="SAPBEXresItemX 3" xfId="1275" xr:uid="{00000000-0005-0000-0000-0000F6040000}"/>
    <cellStyle name="SAPBEXresItemX 4" xfId="1276" xr:uid="{00000000-0005-0000-0000-0000F7040000}"/>
    <cellStyle name="SAPBEXresItemX 5" xfId="1277" xr:uid="{00000000-0005-0000-0000-0000F8040000}"/>
    <cellStyle name="SAPBEXresItemX 6" xfId="1278" xr:uid="{00000000-0005-0000-0000-0000F9040000}"/>
    <cellStyle name="SAPBEXresItemX 7" xfId="1279" xr:uid="{00000000-0005-0000-0000-0000FA040000}"/>
    <cellStyle name="SAPBEXresItemX 8" xfId="1280" xr:uid="{00000000-0005-0000-0000-0000FB040000}"/>
    <cellStyle name="SAPBEXresItemX 9" xfId="1281" xr:uid="{00000000-0005-0000-0000-0000FC040000}"/>
    <cellStyle name="SAPBEXstdData" xfId="11" xr:uid="{00000000-0005-0000-0000-0000FD040000}"/>
    <cellStyle name="SAPBEXstdData 10" xfId="1282" xr:uid="{00000000-0005-0000-0000-0000FE040000}"/>
    <cellStyle name="SAPBEXstdData 11" xfId="1283" xr:uid="{00000000-0005-0000-0000-0000FF040000}"/>
    <cellStyle name="SAPBEXstdData 12" xfId="1284" xr:uid="{00000000-0005-0000-0000-000000050000}"/>
    <cellStyle name="SAPBEXstdData 2" xfId="1285" xr:uid="{00000000-0005-0000-0000-000001050000}"/>
    <cellStyle name="SAPBEXstdData 2 10" xfId="1286" xr:uid="{00000000-0005-0000-0000-000002050000}"/>
    <cellStyle name="SAPBEXstdData 2 11" xfId="1287" xr:uid="{00000000-0005-0000-0000-000003050000}"/>
    <cellStyle name="SAPBEXstdData 2 12" xfId="1288" xr:uid="{00000000-0005-0000-0000-000004050000}"/>
    <cellStyle name="SAPBEXstdData 2 2" xfId="1289" xr:uid="{00000000-0005-0000-0000-000005050000}"/>
    <cellStyle name="SAPBEXstdData 2 2 10" xfId="1290" xr:uid="{00000000-0005-0000-0000-000006050000}"/>
    <cellStyle name="SAPBEXstdData 2 2 2" xfId="1291" xr:uid="{00000000-0005-0000-0000-000007050000}"/>
    <cellStyle name="SAPBEXstdData 2 2 3" xfId="1292" xr:uid="{00000000-0005-0000-0000-000008050000}"/>
    <cellStyle name="SAPBEXstdData 2 2 4" xfId="1293" xr:uid="{00000000-0005-0000-0000-000009050000}"/>
    <cellStyle name="SAPBEXstdData 2 2 5" xfId="1294" xr:uid="{00000000-0005-0000-0000-00000A050000}"/>
    <cellStyle name="SAPBEXstdData 2 2 6" xfId="1295" xr:uid="{00000000-0005-0000-0000-00000B050000}"/>
    <cellStyle name="SAPBEXstdData 2 2 7" xfId="1296" xr:uid="{00000000-0005-0000-0000-00000C050000}"/>
    <cellStyle name="SAPBEXstdData 2 2 8" xfId="1297" xr:uid="{00000000-0005-0000-0000-00000D050000}"/>
    <cellStyle name="SAPBEXstdData 2 2 9" xfId="1298" xr:uid="{00000000-0005-0000-0000-00000E050000}"/>
    <cellStyle name="SAPBEXstdData 2 3" xfId="1299" xr:uid="{00000000-0005-0000-0000-00000F050000}"/>
    <cellStyle name="SAPBEXstdData 2 4" xfId="1300" xr:uid="{00000000-0005-0000-0000-000010050000}"/>
    <cellStyle name="SAPBEXstdData 2 5" xfId="1301" xr:uid="{00000000-0005-0000-0000-000011050000}"/>
    <cellStyle name="SAPBEXstdData 2 6" xfId="1302" xr:uid="{00000000-0005-0000-0000-000012050000}"/>
    <cellStyle name="SAPBEXstdData 2 7" xfId="1303" xr:uid="{00000000-0005-0000-0000-000013050000}"/>
    <cellStyle name="SAPBEXstdData 2 8" xfId="1304" xr:uid="{00000000-0005-0000-0000-000014050000}"/>
    <cellStyle name="SAPBEXstdData 2 9" xfId="1305" xr:uid="{00000000-0005-0000-0000-000015050000}"/>
    <cellStyle name="SAPBEXstdData 3" xfId="1306" xr:uid="{00000000-0005-0000-0000-000016050000}"/>
    <cellStyle name="SAPBEXstdData 3 10" xfId="1307" xr:uid="{00000000-0005-0000-0000-000017050000}"/>
    <cellStyle name="SAPBEXstdData 3 2" xfId="1308" xr:uid="{00000000-0005-0000-0000-000018050000}"/>
    <cellStyle name="SAPBEXstdData 3 3" xfId="1309" xr:uid="{00000000-0005-0000-0000-000019050000}"/>
    <cellStyle name="SAPBEXstdData 3 4" xfId="1310" xr:uid="{00000000-0005-0000-0000-00001A050000}"/>
    <cellStyle name="SAPBEXstdData 3 5" xfId="1311" xr:uid="{00000000-0005-0000-0000-00001B050000}"/>
    <cellStyle name="SAPBEXstdData 3 6" xfId="1312" xr:uid="{00000000-0005-0000-0000-00001C050000}"/>
    <cellStyle name="SAPBEXstdData 3 7" xfId="1313" xr:uid="{00000000-0005-0000-0000-00001D050000}"/>
    <cellStyle name="SAPBEXstdData 3 8" xfId="1314" xr:uid="{00000000-0005-0000-0000-00001E050000}"/>
    <cellStyle name="SAPBEXstdData 3 9" xfId="1315" xr:uid="{00000000-0005-0000-0000-00001F050000}"/>
    <cellStyle name="SAPBEXstdData 4" xfId="1316" xr:uid="{00000000-0005-0000-0000-000020050000}"/>
    <cellStyle name="SAPBEXstdData 5" xfId="1317" xr:uid="{00000000-0005-0000-0000-000021050000}"/>
    <cellStyle name="SAPBEXstdData 6" xfId="1318" xr:uid="{00000000-0005-0000-0000-000022050000}"/>
    <cellStyle name="SAPBEXstdData 7" xfId="1319" xr:uid="{00000000-0005-0000-0000-000023050000}"/>
    <cellStyle name="SAPBEXstdData 8" xfId="1320" xr:uid="{00000000-0005-0000-0000-000024050000}"/>
    <cellStyle name="SAPBEXstdData 9" xfId="1321" xr:uid="{00000000-0005-0000-0000-000025050000}"/>
    <cellStyle name="SAPBEXstdDataEmph" xfId="53" xr:uid="{00000000-0005-0000-0000-000026050000}"/>
    <cellStyle name="SAPBEXstdDataEmph 10" xfId="1322" xr:uid="{00000000-0005-0000-0000-000027050000}"/>
    <cellStyle name="SAPBEXstdDataEmph 11" xfId="1323" xr:uid="{00000000-0005-0000-0000-000028050000}"/>
    <cellStyle name="SAPBEXstdDataEmph 12" xfId="1324" xr:uid="{00000000-0005-0000-0000-000029050000}"/>
    <cellStyle name="SAPBEXstdDataEmph 2" xfId="1325" xr:uid="{00000000-0005-0000-0000-00002A050000}"/>
    <cellStyle name="SAPBEXstdDataEmph 2 10" xfId="1326" xr:uid="{00000000-0005-0000-0000-00002B050000}"/>
    <cellStyle name="SAPBEXstdDataEmph 2 2" xfId="1327" xr:uid="{00000000-0005-0000-0000-00002C050000}"/>
    <cellStyle name="SAPBEXstdDataEmph 2 3" xfId="1328" xr:uid="{00000000-0005-0000-0000-00002D050000}"/>
    <cellStyle name="SAPBEXstdDataEmph 2 4" xfId="1329" xr:uid="{00000000-0005-0000-0000-00002E050000}"/>
    <cellStyle name="SAPBEXstdDataEmph 2 5" xfId="1330" xr:uid="{00000000-0005-0000-0000-00002F050000}"/>
    <cellStyle name="SAPBEXstdDataEmph 2 6" xfId="1331" xr:uid="{00000000-0005-0000-0000-000030050000}"/>
    <cellStyle name="SAPBEXstdDataEmph 2 7" xfId="1332" xr:uid="{00000000-0005-0000-0000-000031050000}"/>
    <cellStyle name="SAPBEXstdDataEmph 2 8" xfId="1333" xr:uid="{00000000-0005-0000-0000-000032050000}"/>
    <cellStyle name="SAPBEXstdDataEmph 2 9" xfId="1334" xr:uid="{00000000-0005-0000-0000-000033050000}"/>
    <cellStyle name="SAPBEXstdDataEmph 3" xfId="1335" xr:uid="{00000000-0005-0000-0000-000034050000}"/>
    <cellStyle name="SAPBEXstdDataEmph 4" xfId="1336" xr:uid="{00000000-0005-0000-0000-000035050000}"/>
    <cellStyle name="SAPBEXstdDataEmph 5" xfId="1337" xr:uid="{00000000-0005-0000-0000-000036050000}"/>
    <cellStyle name="SAPBEXstdDataEmph 6" xfId="1338" xr:uid="{00000000-0005-0000-0000-000037050000}"/>
    <cellStyle name="SAPBEXstdDataEmph 7" xfId="1339" xr:uid="{00000000-0005-0000-0000-000038050000}"/>
    <cellStyle name="SAPBEXstdDataEmph 8" xfId="1340" xr:uid="{00000000-0005-0000-0000-000039050000}"/>
    <cellStyle name="SAPBEXstdDataEmph 9" xfId="1341" xr:uid="{00000000-0005-0000-0000-00003A050000}"/>
    <cellStyle name="SAPBEXstdItem" xfId="12" xr:uid="{00000000-0005-0000-0000-00003B050000}"/>
    <cellStyle name="SAPBEXstdItem 10" xfId="1342" xr:uid="{00000000-0005-0000-0000-00003C050000}"/>
    <cellStyle name="SAPBEXstdItem 11" xfId="1343" xr:uid="{00000000-0005-0000-0000-00003D050000}"/>
    <cellStyle name="SAPBEXstdItem 12" xfId="1344" xr:uid="{00000000-0005-0000-0000-00003E050000}"/>
    <cellStyle name="SAPBEXstdItem 2" xfId="1345" xr:uid="{00000000-0005-0000-0000-00003F050000}"/>
    <cellStyle name="SAPBEXstdItem 2 10" xfId="1346" xr:uid="{00000000-0005-0000-0000-000040050000}"/>
    <cellStyle name="SAPBEXstdItem 2 11" xfId="1347" xr:uid="{00000000-0005-0000-0000-000041050000}"/>
    <cellStyle name="SAPBEXstdItem 2 12" xfId="1348" xr:uid="{00000000-0005-0000-0000-000042050000}"/>
    <cellStyle name="SAPBEXstdItem 2 2" xfId="1349" xr:uid="{00000000-0005-0000-0000-000043050000}"/>
    <cellStyle name="SAPBEXstdItem 2 2 10" xfId="1350" xr:uid="{00000000-0005-0000-0000-000044050000}"/>
    <cellStyle name="SAPBEXstdItem 2 2 2" xfId="1351" xr:uid="{00000000-0005-0000-0000-000045050000}"/>
    <cellStyle name="SAPBEXstdItem 2 2 3" xfId="1352" xr:uid="{00000000-0005-0000-0000-000046050000}"/>
    <cellStyle name="SAPBEXstdItem 2 2 4" xfId="1353" xr:uid="{00000000-0005-0000-0000-000047050000}"/>
    <cellStyle name="SAPBEXstdItem 2 2 5" xfId="1354" xr:uid="{00000000-0005-0000-0000-000048050000}"/>
    <cellStyle name="SAPBEXstdItem 2 2 6" xfId="1355" xr:uid="{00000000-0005-0000-0000-000049050000}"/>
    <cellStyle name="SAPBEXstdItem 2 2 7" xfId="1356" xr:uid="{00000000-0005-0000-0000-00004A050000}"/>
    <cellStyle name="SAPBEXstdItem 2 2 8" xfId="1357" xr:uid="{00000000-0005-0000-0000-00004B050000}"/>
    <cellStyle name="SAPBEXstdItem 2 2 9" xfId="1358" xr:uid="{00000000-0005-0000-0000-00004C050000}"/>
    <cellStyle name="SAPBEXstdItem 2 3" xfId="1359" xr:uid="{00000000-0005-0000-0000-00004D050000}"/>
    <cellStyle name="SAPBEXstdItem 2 4" xfId="1360" xr:uid="{00000000-0005-0000-0000-00004E050000}"/>
    <cellStyle name="SAPBEXstdItem 2 5" xfId="1361" xr:uid="{00000000-0005-0000-0000-00004F050000}"/>
    <cellStyle name="SAPBEXstdItem 2 6" xfId="1362" xr:uid="{00000000-0005-0000-0000-000050050000}"/>
    <cellStyle name="SAPBEXstdItem 2 7" xfId="1363" xr:uid="{00000000-0005-0000-0000-000051050000}"/>
    <cellStyle name="SAPBEXstdItem 2 8" xfId="1364" xr:uid="{00000000-0005-0000-0000-000052050000}"/>
    <cellStyle name="SAPBEXstdItem 2 9" xfId="1365" xr:uid="{00000000-0005-0000-0000-000053050000}"/>
    <cellStyle name="SAPBEXstdItem 3" xfId="1366" xr:uid="{00000000-0005-0000-0000-000054050000}"/>
    <cellStyle name="SAPBEXstdItem 3 10" xfId="1367" xr:uid="{00000000-0005-0000-0000-000055050000}"/>
    <cellStyle name="SAPBEXstdItem 3 2" xfId="1368" xr:uid="{00000000-0005-0000-0000-000056050000}"/>
    <cellStyle name="SAPBEXstdItem 3 3" xfId="1369" xr:uid="{00000000-0005-0000-0000-000057050000}"/>
    <cellStyle name="SAPBEXstdItem 3 4" xfId="1370" xr:uid="{00000000-0005-0000-0000-000058050000}"/>
    <cellStyle name="SAPBEXstdItem 3 5" xfId="1371" xr:uid="{00000000-0005-0000-0000-000059050000}"/>
    <cellStyle name="SAPBEXstdItem 3 6" xfId="1372" xr:uid="{00000000-0005-0000-0000-00005A050000}"/>
    <cellStyle name="SAPBEXstdItem 3 7" xfId="1373" xr:uid="{00000000-0005-0000-0000-00005B050000}"/>
    <cellStyle name="SAPBEXstdItem 3 8" xfId="1374" xr:uid="{00000000-0005-0000-0000-00005C050000}"/>
    <cellStyle name="SAPBEXstdItem 3 9" xfId="1375" xr:uid="{00000000-0005-0000-0000-00005D050000}"/>
    <cellStyle name="SAPBEXstdItem 4" xfId="1376" xr:uid="{00000000-0005-0000-0000-00005E050000}"/>
    <cellStyle name="SAPBEXstdItem 4 2" xfId="1377" xr:uid="{00000000-0005-0000-0000-00005F050000}"/>
    <cellStyle name="SAPBEXstdItem 5" xfId="1378" xr:uid="{00000000-0005-0000-0000-000060050000}"/>
    <cellStyle name="SAPBEXstdItem 6" xfId="1379" xr:uid="{00000000-0005-0000-0000-000061050000}"/>
    <cellStyle name="SAPBEXstdItem 7" xfId="1380" xr:uid="{00000000-0005-0000-0000-000062050000}"/>
    <cellStyle name="SAPBEXstdItem 8" xfId="1381" xr:uid="{00000000-0005-0000-0000-000063050000}"/>
    <cellStyle name="SAPBEXstdItem 9" xfId="1382" xr:uid="{00000000-0005-0000-0000-000064050000}"/>
    <cellStyle name="SAPBEXstdItem_Výkaz 13-D3a _2011_jk" xfId="1383" xr:uid="{00000000-0005-0000-0000-000065050000}"/>
    <cellStyle name="SAPBEXstdItemX" xfId="54" xr:uid="{00000000-0005-0000-0000-000066050000}"/>
    <cellStyle name="SAPBEXstdItemX 10" xfId="1384" xr:uid="{00000000-0005-0000-0000-000067050000}"/>
    <cellStyle name="SAPBEXstdItemX 11" xfId="1385" xr:uid="{00000000-0005-0000-0000-000068050000}"/>
    <cellStyle name="SAPBEXstdItemX 12" xfId="1386" xr:uid="{00000000-0005-0000-0000-000069050000}"/>
    <cellStyle name="SAPBEXstdItemX 13" xfId="1387" xr:uid="{00000000-0005-0000-0000-00006A050000}"/>
    <cellStyle name="SAPBEXstdItemX 2" xfId="1388" xr:uid="{00000000-0005-0000-0000-00006B050000}"/>
    <cellStyle name="SAPBEXstdItemX 2 10" xfId="1389" xr:uid="{00000000-0005-0000-0000-00006C050000}"/>
    <cellStyle name="SAPBEXstdItemX 2 11" xfId="1390" xr:uid="{00000000-0005-0000-0000-00006D050000}"/>
    <cellStyle name="SAPBEXstdItemX 2 2" xfId="1391" xr:uid="{00000000-0005-0000-0000-00006E050000}"/>
    <cellStyle name="SAPBEXstdItemX 2 2 10" xfId="1392" xr:uid="{00000000-0005-0000-0000-00006F050000}"/>
    <cellStyle name="SAPBEXstdItemX 2 2 2" xfId="1393" xr:uid="{00000000-0005-0000-0000-000070050000}"/>
    <cellStyle name="SAPBEXstdItemX 2 2 3" xfId="1394" xr:uid="{00000000-0005-0000-0000-000071050000}"/>
    <cellStyle name="SAPBEXstdItemX 2 2 4" xfId="1395" xr:uid="{00000000-0005-0000-0000-000072050000}"/>
    <cellStyle name="SAPBEXstdItemX 2 2 5" xfId="1396" xr:uid="{00000000-0005-0000-0000-000073050000}"/>
    <cellStyle name="SAPBEXstdItemX 2 2 6" xfId="1397" xr:uid="{00000000-0005-0000-0000-000074050000}"/>
    <cellStyle name="SAPBEXstdItemX 2 2 7" xfId="1398" xr:uid="{00000000-0005-0000-0000-000075050000}"/>
    <cellStyle name="SAPBEXstdItemX 2 2 8" xfId="1399" xr:uid="{00000000-0005-0000-0000-000076050000}"/>
    <cellStyle name="SAPBEXstdItemX 2 2 9" xfId="1400" xr:uid="{00000000-0005-0000-0000-000077050000}"/>
    <cellStyle name="SAPBEXstdItemX 2 3" xfId="1401" xr:uid="{00000000-0005-0000-0000-000078050000}"/>
    <cellStyle name="SAPBEXstdItemX 2 4" xfId="1402" xr:uid="{00000000-0005-0000-0000-000079050000}"/>
    <cellStyle name="SAPBEXstdItemX 2 5" xfId="1403" xr:uid="{00000000-0005-0000-0000-00007A050000}"/>
    <cellStyle name="SAPBEXstdItemX 2 6" xfId="1404" xr:uid="{00000000-0005-0000-0000-00007B050000}"/>
    <cellStyle name="SAPBEXstdItemX 2 7" xfId="1405" xr:uid="{00000000-0005-0000-0000-00007C050000}"/>
    <cellStyle name="SAPBEXstdItemX 2 8" xfId="1406" xr:uid="{00000000-0005-0000-0000-00007D050000}"/>
    <cellStyle name="SAPBEXstdItemX 2 9" xfId="1407" xr:uid="{00000000-0005-0000-0000-00007E050000}"/>
    <cellStyle name="SAPBEXstdItemX 3" xfId="1408" xr:uid="{00000000-0005-0000-0000-00007F050000}"/>
    <cellStyle name="SAPBEXstdItemX 3 10" xfId="1409" xr:uid="{00000000-0005-0000-0000-000080050000}"/>
    <cellStyle name="SAPBEXstdItemX 3 2" xfId="1410" xr:uid="{00000000-0005-0000-0000-000081050000}"/>
    <cellStyle name="SAPBEXstdItemX 3 3" xfId="1411" xr:uid="{00000000-0005-0000-0000-000082050000}"/>
    <cellStyle name="SAPBEXstdItemX 3 4" xfId="1412" xr:uid="{00000000-0005-0000-0000-000083050000}"/>
    <cellStyle name="SAPBEXstdItemX 3 5" xfId="1413" xr:uid="{00000000-0005-0000-0000-000084050000}"/>
    <cellStyle name="SAPBEXstdItemX 3 6" xfId="1414" xr:uid="{00000000-0005-0000-0000-000085050000}"/>
    <cellStyle name="SAPBEXstdItemX 3 7" xfId="1415" xr:uid="{00000000-0005-0000-0000-000086050000}"/>
    <cellStyle name="SAPBEXstdItemX 3 8" xfId="1416" xr:uid="{00000000-0005-0000-0000-000087050000}"/>
    <cellStyle name="SAPBEXstdItemX 3 9" xfId="1417" xr:uid="{00000000-0005-0000-0000-000088050000}"/>
    <cellStyle name="SAPBEXstdItemX 4" xfId="1418" xr:uid="{00000000-0005-0000-0000-000089050000}"/>
    <cellStyle name="SAPBEXstdItemX 5" xfId="1419" xr:uid="{00000000-0005-0000-0000-00008A050000}"/>
    <cellStyle name="SAPBEXstdItemX 6" xfId="1420" xr:uid="{00000000-0005-0000-0000-00008B050000}"/>
    <cellStyle name="SAPBEXstdItemX 7" xfId="1421" xr:uid="{00000000-0005-0000-0000-00008C050000}"/>
    <cellStyle name="SAPBEXstdItemX 8" xfId="1422" xr:uid="{00000000-0005-0000-0000-00008D050000}"/>
    <cellStyle name="SAPBEXstdItemX 9" xfId="1423" xr:uid="{00000000-0005-0000-0000-00008E050000}"/>
    <cellStyle name="SAPBEXstdItemX_Výkaz 13-D3a _2011_jk" xfId="1424" xr:uid="{00000000-0005-0000-0000-00008F050000}"/>
    <cellStyle name="SAPBEXtitle" xfId="55" xr:uid="{00000000-0005-0000-0000-000090050000}"/>
    <cellStyle name="SAPBEXtitle 2" xfId="1425" xr:uid="{00000000-0005-0000-0000-000091050000}"/>
    <cellStyle name="SAPBEXtitle 3" xfId="1426" xr:uid="{00000000-0005-0000-0000-000092050000}"/>
    <cellStyle name="SAPBEXtitle_Výkaz 13-D3a _2011_jk" xfId="1427" xr:uid="{00000000-0005-0000-0000-000093050000}"/>
    <cellStyle name="SAPBEXunassignedItem" xfId="1428" xr:uid="{00000000-0005-0000-0000-000094050000}"/>
    <cellStyle name="SAPBEXunassignedItem 2" xfId="1429" xr:uid="{00000000-0005-0000-0000-000095050000}"/>
    <cellStyle name="SAPBEXunassignedItem 2 2" xfId="1430" xr:uid="{00000000-0005-0000-0000-000096050000}"/>
    <cellStyle name="SAPBEXunassignedItem 2 3" xfId="1431" xr:uid="{00000000-0005-0000-0000-000097050000}"/>
    <cellStyle name="SAPBEXunassignedItem 2 4" xfId="1432" xr:uid="{00000000-0005-0000-0000-000098050000}"/>
    <cellStyle name="SAPBEXunassignedItem 2 5" xfId="1433" xr:uid="{00000000-0005-0000-0000-000099050000}"/>
    <cellStyle name="SAPBEXunassignedItem 2 6" xfId="1434" xr:uid="{00000000-0005-0000-0000-00009A050000}"/>
    <cellStyle name="SAPBEXunassignedItem 2 7" xfId="1435" xr:uid="{00000000-0005-0000-0000-00009B050000}"/>
    <cellStyle name="SAPBEXunassignedItem 3" xfId="1436" xr:uid="{00000000-0005-0000-0000-00009C050000}"/>
    <cellStyle name="SAPBEXunassignedItem 4" xfId="1437" xr:uid="{00000000-0005-0000-0000-00009D050000}"/>
    <cellStyle name="SAPBEXunassignedItem 5" xfId="1438" xr:uid="{00000000-0005-0000-0000-00009E050000}"/>
    <cellStyle name="SAPBEXunassignedItem 6" xfId="1439" xr:uid="{00000000-0005-0000-0000-00009F050000}"/>
    <cellStyle name="SAPBEXunassignedItem 7" xfId="1440" xr:uid="{00000000-0005-0000-0000-0000A0050000}"/>
    <cellStyle name="SAPBEXunassignedItem 8" xfId="1441" xr:uid="{00000000-0005-0000-0000-0000A1050000}"/>
    <cellStyle name="SAPBEXundefined" xfId="56" xr:uid="{00000000-0005-0000-0000-0000A2050000}"/>
    <cellStyle name="SAPBEXundefined 10" xfId="1442" xr:uid="{00000000-0005-0000-0000-0000A3050000}"/>
    <cellStyle name="SAPBEXundefined 11" xfId="1443" xr:uid="{00000000-0005-0000-0000-0000A4050000}"/>
    <cellStyle name="SAPBEXundefined 12" xfId="1444" xr:uid="{00000000-0005-0000-0000-0000A5050000}"/>
    <cellStyle name="SAPBEXundefined 2" xfId="1445" xr:uid="{00000000-0005-0000-0000-0000A6050000}"/>
    <cellStyle name="SAPBEXundefined 2 10" xfId="1446" xr:uid="{00000000-0005-0000-0000-0000A7050000}"/>
    <cellStyle name="SAPBEXundefined 2 2" xfId="1447" xr:uid="{00000000-0005-0000-0000-0000A8050000}"/>
    <cellStyle name="SAPBEXundefined 2 3" xfId="1448" xr:uid="{00000000-0005-0000-0000-0000A9050000}"/>
    <cellStyle name="SAPBEXundefined 2 4" xfId="1449" xr:uid="{00000000-0005-0000-0000-0000AA050000}"/>
    <cellStyle name="SAPBEXundefined 2 5" xfId="1450" xr:uid="{00000000-0005-0000-0000-0000AB050000}"/>
    <cellStyle name="SAPBEXundefined 2 6" xfId="1451" xr:uid="{00000000-0005-0000-0000-0000AC050000}"/>
    <cellStyle name="SAPBEXundefined 2 7" xfId="1452" xr:uid="{00000000-0005-0000-0000-0000AD050000}"/>
    <cellStyle name="SAPBEXundefined 2 8" xfId="1453" xr:uid="{00000000-0005-0000-0000-0000AE050000}"/>
    <cellStyle name="SAPBEXundefined 2 9" xfId="1454" xr:uid="{00000000-0005-0000-0000-0000AF050000}"/>
    <cellStyle name="SAPBEXundefined 3" xfId="1455" xr:uid="{00000000-0005-0000-0000-0000B0050000}"/>
    <cellStyle name="SAPBEXundefined 4" xfId="1456" xr:uid="{00000000-0005-0000-0000-0000B1050000}"/>
    <cellStyle name="SAPBEXundefined 5" xfId="1457" xr:uid="{00000000-0005-0000-0000-0000B2050000}"/>
    <cellStyle name="SAPBEXundefined 6" xfId="1458" xr:uid="{00000000-0005-0000-0000-0000B3050000}"/>
    <cellStyle name="SAPBEXundefined 7" xfId="1459" xr:uid="{00000000-0005-0000-0000-0000B4050000}"/>
    <cellStyle name="SAPBEXundefined 8" xfId="1460" xr:uid="{00000000-0005-0000-0000-0000B5050000}"/>
    <cellStyle name="SAPBEXundefined 9" xfId="1461" xr:uid="{00000000-0005-0000-0000-0000B6050000}"/>
    <cellStyle name="Sheet Title" xfId="1462" xr:uid="{00000000-0005-0000-0000-0000B7050000}"/>
    <cellStyle name="Správně 2" xfId="1463" xr:uid="{00000000-0005-0000-0000-0000B8050000}"/>
    <cellStyle name="Správně 3" xfId="1464" xr:uid="{00000000-0005-0000-0000-0000B9050000}"/>
    <cellStyle name="Styl 1" xfId="1465" xr:uid="{00000000-0005-0000-0000-0000BA050000}"/>
    <cellStyle name="Subtotal" xfId="1466" xr:uid="{00000000-0005-0000-0000-0000BB050000}"/>
    <cellStyle name="Text upozornění 2" xfId="1467" xr:uid="{00000000-0005-0000-0000-0000BC050000}"/>
    <cellStyle name="Vstup 2" xfId="1468" xr:uid="{00000000-0005-0000-0000-0000BD050000}"/>
    <cellStyle name="Vstup 2 10" xfId="1469" xr:uid="{00000000-0005-0000-0000-0000BE050000}"/>
    <cellStyle name="Vstup 2 11" xfId="1470" xr:uid="{00000000-0005-0000-0000-0000BF050000}"/>
    <cellStyle name="Vstup 2 2" xfId="1471" xr:uid="{00000000-0005-0000-0000-0000C0050000}"/>
    <cellStyle name="Vstup 2 2 10" xfId="1472" xr:uid="{00000000-0005-0000-0000-0000C1050000}"/>
    <cellStyle name="Vstup 2 2 2" xfId="1473" xr:uid="{00000000-0005-0000-0000-0000C2050000}"/>
    <cellStyle name="Vstup 2 2 3" xfId="1474" xr:uid="{00000000-0005-0000-0000-0000C3050000}"/>
    <cellStyle name="Vstup 2 2 4" xfId="1475" xr:uid="{00000000-0005-0000-0000-0000C4050000}"/>
    <cellStyle name="Vstup 2 2 5" xfId="1476" xr:uid="{00000000-0005-0000-0000-0000C5050000}"/>
    <cellStyle name="Vstup 2 2 6" xfId="1477" xr:uid="{00000000-0005-0000-0000-0000C6050000}"/>
    <cellStyle name="Vstup 2 2 7" xfId="1478" xr:uid="{00000000-0005-0000-0000-0000C7050000}"/>
    <cellStyle name="Vstup 2 2 8" xfId="1479" xr:uid="{00000000-0005-0000-0000-0000C8050000}"/>
    <cellStyle name="Vstup 2 2 9" xfId="1480" xr:uid="{00000000-0005-0000-0000-0000C9050000}"/>
    <cellStyle name="Vstup 2 3" xfId="1481" xr:uid="{00000000-0005-0000-0000-0000CA050000}"/>
    <cellStyle name="Vstup 2 4" xfId="1482" xr:uid="{00000000-0005-0000-0000-0000CB050000}"/>
    <cellStyle name="Vstup 2 5" xfId="1483" xr:uid="{00000000-0005-0000-0000-0000CC050000}"/>
    <cellStyle name="Vstup 2 6" xfId="1484" xr:uid="{00000000-0005-0000-0000-0000CD050000}"/>
    <cellStyle name="Vstup 2 7" xfId="1485" xr:uid="{00000000-0005-0000-0000-0000CE050000}"/>
    <cellStyle name="Vstup 2 8" xfId="1486" xr:uid="{00000000-0005-0000-0000-0000CF050000}"/>
    <cellStyle name="Vstup 2 9" xfId="1487" xr:uid="{00000000-0005-0000-0000-0000D0050000}"/>
    <cellStyle name="Výpočet 2" xfId="1488" xr:uid="{00000000-0005-0000-0000-0000D1050000}"/>
    <cellStyle name="Výpočet 2 10" xfId="1489" xr:uid="{00000000-0005-0000-0000-0000D2050000}"/>
    <cellStyle name="Výpočet 2 11" xfId="1490" xr:uid="{00000000-0005-0000-0000-0000D3050000}"/>
    <cellStyle name="Výpočet 2 2" xfId="1491" xr:uid="{00000000-0005-0000-0000-0000D4050000}"/>
    <cellStyle name="Výpočet 2 2 10" xfId="1492" xr:uid="{00000000-0005-0000-0000-0000D5050000}"/>
    <cellStyle name="Výpočet 2 2 2" xfId="1493" xr:uid="{00000000-0005-0000-0000-0000D6050000}"/>
    <cellStyle name="Výpočet 2 2 3" xfId="1494" xr:uid="{00000000-0005-0000-0000-0000D7050000}"/>
    <cellStyle name="Výpočet 2 2 4" xfId="1495" xr:uid="{00000000-0005-0000-0000-0000D8050000}"/>
    <cellStyle name="Výpočet 2 2 5" xfId="1496" xr:uid="{00000000-0005-0000-0000-0000D9050000}"/>
    <cellStyle name="Výpočet 2 2 6" xfId="1497" xr:uid="{00000000-0005-0000-0000-0000DA050000}"/>
    <cellStyle name="Výpočet 2 2 7" xfId="1498" xr:uid="{00000000-0005-0000-0000-0000DB050000}"/>
    <cellStyle name="Výpočet 2 2 8" xfId="1499" xr:uid="{00000000-0005-0000-0000-0000DC050000}"/>
    <cellStyle name="Výpočet 2 2 9" xfId="1500" xr:uid="{00000000-0005-0000-0000-0000DD050000}"/>
    <cellStyle name="Výpočet 2 3" xfId="1501" xr:uid="{00000000-0005-0000-0000-0000DE050000}"/>
    <cellStyle name="Výpočet 2 4" xfId="1502" xr:uid="{00000000-0005-0000-0000-0000DF050000}"/>
    <cellStyle name="Výpočet 2 5" xfId="1503" xr:uid="{00000000-0005-0000-0000-0000E0050000}"/>
    <cellStyle name="Výpočet 2 6" xfId="1504" xr:uid="{00000000-0005-0000-0000-0000E1050000}"/>
    <cellStyle name="Výpočet 2 7" xfId="1505" xr:uid="{00000000-0005-0000-0000-0000E2050000}"/>
    <cellStyle name="Výpočet 2 8" xfId="1506" xr:uid="{00000000-0005-0000-0000-0000E3050000}"/>
    <cellStyle name="Výpočet 2 9" xfId="1507" xr:uid="{00000000-0005-0000-0000-0000E4050000}"/>
    <cellStyle name="Výstup 2" xfId="1508" xr:uid="{00000000-0005-0000-0000-0000E5050000}"/>
    <cellStyle name="Výstup 2 10" xfId="1509" xr:uid="{00000000-0005-0000-0000-0000E6050000}"/>
    <cellStyle name="Výstup 2 11" xfId="1510" xr:uid="{00000000-0005-0000-0000-0000E7050000}"/>
    <cellStyle name="Výstup 2 2" xfId="1511" xr:uid="{00000000-0005-0000-0000-0000E8050000}"/>
    <cellStyle name="Výstup 2 2 10" xfId="1512" xr:uid="{00000000-0005-0000-0000-0000E9050000}"/>
    <cellStyle name="Výstup 2 2 2" xfId="1513" xr:uid="{00000000-0005-0000-0000-0000EA050000}"/>
    <cellStyle name="Výstup 2 2 3" xfId="1514" xr:uid="{00000000-0005-0000-0000-0000EB050000}"/>
    <cellStyle name="Výstup 2 2 4" xfId="1515" xr:uid="{00000000-0005-0000-0000-0000EC050000}"/>
    <cellStyle name="Výstup 2 2 5" xfId="1516" xr:uid="{00000000-0005-0000-0000-0000ED050000}"/>
    <cellStyle name="Výstup 2 2 6" xfId="1517" xr:uid="{00000000-0005-0000-0000-0000EE050000}"/>
    <cellStyle name="Výstup 2 2 7" xfId="1518" xr:uid="{00000000-0005-0000-0000-0000EF050000}"/>
    <cellStyle name="Výstup 2 2 8" xfId="1519" xr:uid="{00000000-0005-0000-0000-0000F0050000}"/>
    <cellStyle name="Výstup 2 2 9" xfId="1520" xr:uid="{00000000-0005-0000-0000-0000F1050000}"/>
    <cellStyle name="Výstup 2 3" xfId="1521" xr:uid="{00000000-0005-0000-0000-0000F2050000}"/>
    <cellStyle name="Výstup 2 4" xfId="1522" xr:uid="{00000000-0005-0000-0000-0000F3050000}"/>
    <cellStyle name="Výstup 2 5" xfId="1523" xr:uid="{00000000-0005-0000-0000-0000F4050000}"/>
    <cellStyle name="Výstup 2 6" xfId="1524" xr:uid="{00000000-0005-0000-0000-0000F5050000}"/>
    <cellStyle name="Výstup 2 7" xfId="1525" xr:uid="{00000000-0005-0000-0000-0000F6050000}"/>
    <cellStyle name="Výstup 2 8" xfId="1526" xr:uid="{00000000-0005-0000-0000-0000F7050000}"/>
    <cellStyle name="Výstup 2 9" xfId="1527" xr:uid="{00000000-0005-0000-0000-0000F8050000}"/>
    <cellStyle name="Vysvětlující text 2" xfId="1528" xr:uid="{00000000-0005-0000-0000-0000F9050000}"/>
    <cellStyle name="Záhlaví 1" xfId="86" xr:uid="{00000000-0005-0000-0000-0000FA050000}"/>
    <cellStyle name="Záhlaví 2" xfId="87" xr:uid="{00000000-0005-0000-0000-0000FB050000}"/>
    <cellStyle name="Zvýraznění 1 2" xfId="1529" xr:uid="{00000000-0005-0000-0000-0000FC050000}"/>
    <cellStyle name="Zvýraznění 2 2" xfId="1530" xr:uid="{00000000-0005-0000-0000-0000FD050000}"/>
    <cellStyle name="Zvýraznění 3 2" xfId="1531" xr:uid="{00000000-0005-0000-0000-0000FE050000}"/>
    <cellStyle name="Zvýraznění 4 2" xfId="1532" xr:uid="{00000000-0005-0000-0000-0000FF050000}"/>
    <cellStyle name="Zvýraznění 5 2" xfId="1533" xr:uid="{00000000-0005-0000-0000-000000060000}"/>
    <cellStyle name="Zvýraznění 6 2" xfId="1534" xr:uid="{00000000-0005-0000-0000-000001060000}"/>
  </cellStyles>
  <dxfs count="0"/>
  <tableStyles count="0" defaultTableStyle="TableStyleMedium2" defaultPivotStyle="PivotStyleLight16"/>
  <colors>
    <mruColors>
      <color rgb="FF233060"/>
      <color rgb="FFF0948F"/>
      <color rgb="FF596387"/>
      <color rgb="FF9196B0"/>
      <color rgb="FFC7CCD6"/>
      <color rgb="FF79C1D5"/>
      <color rgb="FFCEF8FA"/>
      <color rgb="FF646363"/>
      <color rgb="FFDDFAF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'3.2'!$E$27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'3.2'!$D$28:$D$39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'3.2'!$E$28:$E$39</c:f>
              <c:numCache>
                <c:formatCode>#\ ##0.0</c:formatCode>
                <c:ptCount val="12"/>
                <c:pt idx="0">
                  <c:v>463.02032292276868</c:v>
                </c:pt>
                <c:pt idx="1">
                  <c:v>557.94659742511897</c:v>
                </c:pt>
                <c:pt idx="2">
                  <c:v>337.52630422264463</c:v>
                </c:pt>
                <c:pt idx="3">
                  <c:v>343.16157323516302</c:v>
                </c:pt>
                <c:pt idx="4">
                  <c:v>639.993582051462</c:v>
                </c:pt>
                <c:pt idx="5">
                  <c:v>792.75175263001393</c:v>
                </c:pt>
                <c:pt idx="6">
                  <c:v>585.17322256407306</c:v>
                </c:pt>
                <c:pt idx="7">
                  <c:v>574.64363606460302</c:v>
                </c:pt>
                <c:pt idx="8">
                  <c:v>426.30177228467801</c:v>
                </c:pt>
                <c:pt idx="9">
                  <c:v>507.40874569777094</c:v>
                </c:pt>
                <c:pt idx="10">
                  <c:v>423.15323818433103</c:v>
                </c:pt>
                <c:pt idx="11">
                  <c:v>408.03356959305603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4-49AB-B1D3-D3194406E607}"/>
            </c:ext>
          </c:extLst>
        </c:ser>
        <c:ser>
          <c:idx val="1"/>
          <c:order val="1"/>
          <c:tx>
            <c:strRef>
              <c:f>'3.2'!$F$27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'3.2'!$D$28:$D$39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'3.2'!$F$28:$F$39</c:f>
              <c:numCache>
                <c:formatCode>#\ ##0.0</c:formatCode>
                <c:ptCount val="12"/>
                <c:pt idx="0">
                  <c:v>-20.941328995270386</c:v>
                </c:pt>
                <c:pt idx="1">
                  <c:v>-0.11417086195799998</c:v>
                </c:pt>
                <c:pt idx="2">
                  <c:v>-3.5326223853076072E-2</c:v>
                </c:pt>
                <c:pt idx="3">
                  <c:v>-12.04427035282</c:v>
                </c:pt>
                <c:pt idx="4">
                  <c:v>-1.248665445461</c:v>
                </c:pt>
                <c:pt idx="5">
                  <c:v>-4.2779507035090001</c:v>
                </c:pt>
                <c:pt idx="6">
                  <c:v>-110.59800354830098</c:v>
                </c:pt>
                <c:pt idx="7">
                  <c:v>-30.046023427961998</c:v>
                </c:pt>
                <c:pt idx="8">
                  <c:v>-13.897532460209</c:v>
                </c:pt>
                <c:pt idx="9">
                  <c:v>-14.184419905761001</c:v>
                </c:pt>
                <c:pt idx="10">
                  <c:v>-63.082985501163002</c:v>
                </c:pt>
                <c:pt idx="11">
                  <c:v>-66.507248162530004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4-49AB-B1D3-D3194406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54269184"/>
        <c:axId val="154270720"/>
      </c:barChart>
      <c:catAx>
        <c:axId val="15426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54270720"/>
        <c:crosses val="autoZero"/>
        <c:auto val="1"/>
        <c:lblAlgn val="ctr"/>
        <c:lblOffset val="100"/>
        <c:noMultiLvlLbl val="0"/>
      </c:catAx>
      <c:valAx>
        <c:axId val="154270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5426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369142748693663E-4"/>
          <c:y val="0.92056933894499138"/>
          <c:w val="0.19103510423252798"/>
          <c:h val="7.888618179064298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AA-4434-9EDB-79B35337C276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3EAA-4434-9EDB-79B35337C276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3EAA-4434-9EDB-79B35337C2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'4.3'!$H$45:$H$47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'4.3'!$I$45:$I$47</c:f>
              <c:numCache>
                <c:formatCode>#,##0</c:formatCode>
                <c:ptCount val="3"/>
                <c:pt idx="0">
                  <c:v>38118.645015085851</c:v>
                </c:pt>
                <c:pt idx="1">
                  <c:v>24982.25238869058</c:v>
                </c:pt>
                <c:pt idx="2">
                  <c:v>30620.764796868087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A-4434-9EDB-79B35337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116544"/>
        <c:axId val="165122432"/>
      </c:barChart>
      <c:catAx>
        <c:axId val="1651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122432"/>
        <c:crosses val="autoZero"/>
        <c:auto val="1"/>
        <c:lblAlgn val="ctr"/>
        <c:lblOffset val="100"/>
        <c:noMultiLvlLbl val="0"/>
      </c:catAx>
      <c:valAx>
        <c:axId val="165122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11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2.0754852261096239E-2"/>
          <c:w val="0.49250688350604677"/>
          <c:h val="0.78653580802399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'5.1'!$B$43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'5.1'!$C$43:$D$43</c:f>
              <c:numCache>
                <c:formatCode>#,##0</c:formatCode>
                <c:ptCount val="2"/>
                <c:pt idx="0">
                  <c:v>555181.71762775804</c:v>
                </c:pt>
                <c:pt idx="1">
                  <c:v>465541.46797943104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C-426C-8CB5-97DB8CC20E85}"/>
            </c:ext>
          </c:extLst>
        </c:ser>
        <c:ser>
          <c:idx val="1"/>
          <c:order val="1"/>
          <c:tx>
            <c:strRef>
              <c:f>'5.1'!$B$44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'5.1'!$C$44:$D$44</c:f>
              <c:numCache>
                <c:formatCode>#,##0</c:formatCode>
                <c:ptCount val="2"/>
                <c:pt idx="0">
                  <c:v>865477.27314726391</c:v>
                </c:pt>
                <c:pt idx="1">
                  <c:v>731114.26618603372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C-426C-8CB5-97DB8CC20E85}"/>
            </c:ext>
          </c:extLst>
        </c:ser>
        <c:ser>
          <c:idx val="2"/>
          <c:order val="2"/>
          <c:tx>
            <c:strRef>
              <c:f>'5.1'!$B$45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'5.1'!$C$42:$D$42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'5.1'!$C$45:$D$45</c:f>
              <c:numCache>
                <c:formatCode>#,##0</c:formatCode>
                <c:ptCount val="2"/>
                <c:pt idx="0">
                  <c:v>949243.64720050502</c:v>
                </c:pt>
                <c:pt idx="1">
                  <c:v>879802.03918057634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C-426C-8CB5-97DB8CC20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312768"/>
        <c:axId val="154272896"/>
      </c:barChart>
      <c:catAx>
        <c:axId val="1673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4272896"/>
        <c:crosses val="autoZero"/>
        <c:auto val="1"/>
        <c:lblAlgn val="ctr"/>
        <c:lblOffset val="100"/>
        <c:noMultiLvlLbl val="0"/>
      </c:catAx>
      <c:valAx>
        <c:axId val="154272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731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2548508955760597E-3"/>
          <c:y val="0.92454477860696616"/>
          <c:w val="0.36822587099093235"/>
          <c:h val="6.5980402449693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2.3809532736982653E-2"/>
          <c:w val="0.77090245307366301"/>
          <c:h val="0.7930632894875475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'5.1'!$H$43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'5.1'!$I$43:$J$43</c:f>
              <c:numCache>
                <c:formatCode>0.0%</c:formatCode>
                <c:ptCount val="2"/>
                <c:pt idx="0">
                  <c:v>0.23426351307917789</c:v>
                </c:pt>
                <c:pt idx="1">
                  <c:v>0.22419982431390803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2-466B-A37D-841994DB4915}"/>
            </c:ext>
          </c:extLst>
        </c:ser>
        <c:ser>
          <c:idx val="1"/>
          <c:order val="1"/>
          <c:tx>
            <c:strRef>
              <c:f>'5.1'!$H$44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'5.1'!$I$44:$J$44</c:f>
              <c:numCache>
                <c:formatCode>0.0%</c:formatCode>
                <c:ptCount val="2"/>
                <c:pt idx="0">
                  <c:v>0.36519528662434503</c:v>
                </c:pt>
                <c:pt idx="1">
                  <c:v>0.35209686205556845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2-466B-A37D-841994DB4915}"/>
            </c:ext>
          </c:extLst>
        </c:ser>
        <c:ser>
          <c:idx val="2"/>
          <c:order val="2"/>
          <c:tx>
            <c:strRef>
              <c:f>'5.1'!$H$45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'5.1'!$I$42:$J$42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'5.1'!$I$45:$J$45</c:f>
              <c:numCache>
                <c:formatCode>0.0%</c:formatCode>
                <c:ptCount val="2"/>
                <c:pt idx="0">
                  <c:v>0.40054120029647711</c:v>
                </c:pt>
                <c:pt idx="1">
                  <c:v>0.42370331363052366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2-466B-A37D-841994DB4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301952"/>
        <c:axId val="154303872"/>
      </c:barChart>
      <c:catAx>
        <c:axId val="15430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4303872"/>
        <c:crosses val="autoZero"/>
        <c:auto val="1"/>
        <c:lblAlgn val="ctr"/>
        <c:lblOffset val="100"/>
        <c:noMultiLvlLbl val="0"/>
      </c:catAx>
      <c:valAx>
        <c:axId val="154303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5430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930668515436265"/>
          <c:w val="0.54599030419658057"/>
          <c:h val="6.53271537736038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'5.2'!$B$42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'5.2'!$C$42:$D$42</c:f>
              <c:numCache>
                <c:formatCode>#,##0</c:formatCode>
                <c:ptCount val="2"/>
                <c:pt idx="0">
                  <c:v>53405.085647103995</c:v>
                </c:pt>
                <c:pt idx="1">
                  <c:v>41124.742635478062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B-489A-AC92-55573FC6C8F1}"/>
            </c:ext>
          </c:extLst>
        </c:ser>
        <c:ser>
          <c:idx val="1"/>
          <c:order val="1"/>
          <c:tx>
            <c:strRef>
              <c:f>'5.2'!$B$43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'5.2'!$C$43:$D$43</c:f>
              <c:numCache>
                <c:formatCode>#,##0</c:formatCode>
                <c:ptCount val="2"/>
                <c:pt idx="0">
                  <c:v>95661.501860338001</c:v>
                </c:pt>
                <c:pt idx="1">
                  <c:v>84422.466729865191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B-489A-AC92-55573FC6C8F1}"/>
            </c:ext>
          </c:extLst>
        </c:ser>
        <c:ser>
          <c:idx val="2"/>
          <c:order val="2"/>
          <c:tx>
            <c:strRef>
              <c:f>'5.2'!$B$44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'5.2'!$C$41:$D$41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'5.2'!$C$44:$D$44</c:f>
              <c:numCache>
                <c:formatCode>#,##0</c:formatCode>
                <c:ptCount val="2"/>
                <c:pt idx="0">
                  <c:v>113032.593855642</c:v>
                </c:pt>
                <c:pt idx="1">
                  <c:v>106608.04917612745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2B-489A-AC92-55573FC6C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118400"/>
        <c:axId val="154124288"/>
      </c:barChart>
      <c:catAx>
        <c:axId val="1541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4124288"/>
        <c:crosses val="autoZero"/>
        <c:auto val="1"/>
        <c:lblAlgn val="ctr"/>
        <c:lblOffset val="100"/>
        <c:noMultiLvlLbl val="0"/>
      </c:catAx>
      <c:valAx>
        <c:axId val="154124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5411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095451246888922E-3"/>
          <c:y val="0.92930668515436265"/>
          <c:w val="0.3503722759478039"/>
          <c:h val="5.996764643391946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4.3264503441494594E-2"/>
          <c:w val="0.77090245307366301"/>
          <c:h val="0.766756013905341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'5.2'!$H$42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'5.2'!$I$42:$J$42</c:f>
              <c:numCache>
                <c:formatCode>0.0%</c:formatCode>
                <c:ptCount val="2"/>
                <c:pt idx="0">
                  <c:v>0.20375907078138614</c:v>
                </c:pt>
                <c:pt idx="1">
                  <c:v>0.17714327426329568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3-4E0B-B9AD-17DAD6C994D1}"/>
            </c:ext>
          </c:extLst>
        </c:ser>
        <c:ser>
          <c:idx val="1"/>
          <c:order val="1"/>
          <c:tx>
            <c:strRef>
              <c:f>'5.2'!$H$43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'5.2'!$I$43:$J$43</c:f>
              <c:numCache>
                <c:formatCode>0.0%</c:formatCode>
                <c:ptCount val="2"/>
                <c:pt idx="0">
                  <c:v>0.36498207038586222</c:v>
                </c:pt>
                <c:pt idx="1">
                  <c:v>0.36364658401560396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3-4E0B-B9AD-17DAD6C994D1}"/>
            </c:ext>
          </c:extLst>
        </c:ser>
        <c:ser>
          <c:idx val="2"/>
          <c:order val="2"/>
          <c:tx>
            <c:strRef>
              <c:f>'5.2'!$H$44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'5.2'!$I$44:$J$44</c:f>
              <c:numCache>
                <c:formatCode>0.0%</c:formatCode>
                <c:ptCount val="2"/>
                <c:pt idx="0">
                  <c:v>0.43125885883275161</c:v>
                </c:pt>
                <c:pt idx="1">
                  <c:v>0.45921014172110031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43-4E0B-B9AD-17DAD6C9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369536"/>
        <c:axId val="162371456"/>
      </c:barChart>
      <c:catAx>
        <c:axId val="16236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2371456"/>
        <c:crosses val="autoZero"/>
        <c:auto val="1"/>
        <c:lblAlgn val="ctr"/>
        <c:lblOffset val="100"/>
        <c:noMultiLvlLbl val="0"/>
      </c:catAx>
      <c:valAx>
        <c:axId val="162371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2369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930668515436265"/>
          <c:w val="0.5196304938297599"/>
          <c:h val="6.031850540866692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4.569055036344756E-2"/>
          <c:w val="0.77090245307366301"/>
          <c:h val="0.7578305982780190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'5.3'!$H$42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'5.3'!$I$42:$J$42</c:f>
              <c:numCache>
                <c:formatCode>0.0%</c:formatCode>
                <c:ptCount val="2"/>
                <c:pt idx="0">
                  <c:v>0.23923404189832742</c:v>
                </c:pt>
                <c:pt idx="1">
                  <c:v>0.22312148669220855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1-4F62-A8F2-07000363B55B}"/>
            </c:ext>
          </c:extLst>
        </c:ser>
        <c:ser>
          <c:idx val="1"/>
          <c:order val="1"/>
          <c:tx>
            <c:strRef>
              <c:f>'5.3'!$H$43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'5.3'!$I$43:$J$43</c:f>
              <c:numCache>
                <c:formatCode>0.0%</c:formatCode>
                <c:ptCount val="2"/>
                <c:pt idx="0">
                  <c:v>0.35822789888930495</c:v>
                </c:pt>
                <c:pt idx="1">
                  <c:v>0.35540225672608039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1-4F62-A8F2-07000363B55B}"/>
            </c:ext>
          </c:extLst>
        </c:ser>
        <c:ser>
          <c:idx val="2"/>
          <c:order val="2"/>
          <c:tx>
            <c:strRef>
              <c:f>'5.3'!$H$44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'5.3'!$I$41:$J$41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'5.3'!$I$44:$J$44</c:f>
              <c:numCache>
                <c:formatCode>0.0%</c:formatCode>
                <c:ptCount val="2"/>
                <c:pt idx="0">
                  <c:v>0.40253805921236752</c:v>
                </c:pt>
                <c:pt idx="1">
                  <c:v>0.42147625658171106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1-4F62-A8F2-07000363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499648"/>
        <c:axId val="167329792"/>
      </c:barChart>
      <c:catAx>
        <c:axId val="16749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7329792"/>
        <c:crosses val="autoZero"/>
        <c:auto val="1"/>
        <c:lblAlgn val="ctr"/>
        <c:lblOffset val="100"/>
        <c:noMultiLvlLbl val="0"/>
      </c:catAx>
      <c:valAx>
        <c:axId val="167329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7499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553732385528067E-2"/>
          <c:y val="0.92930668515436265"/>
          <c:w val="0.5196304938297599"/>
          <c:h val="6.3704044589688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'5.3'!$B$42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'5.3'!$C$42:$D$42</c:f>
              <c:numCache>
                <c:formatCode>#,##0</c:formatCode>
                <c:ptCount val="2"/>
                <c:pt idx="0">
                  <c:v>451140.30265065399</c:v>
                </c:pt>
                <c:pt idx="1">
                  <c:v>378511.18904395303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3-4286-BF7E-9B90DA6B9294}"/>
            </c:ext>
          </c:extLst>
        </c:ser>
        <c:ser>
          <c:idx val="1"/>
          <c:order val="1"/>
          <c:tx>
            <c:strRef>
              <c:f>'5.3'!$B$43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'5.3'!$C$43:$D$43</c:f>
              <c:numCache>
                <c:formatCode>#,##0</c:formatCode>
                <c:ptCount val="2"/>
                <c:pt idx="0">
                  <c:v>675535.3102779258</c:v>
                </c:pt>
                <c:pt idx="1">
                  <c:v>602916.97037616838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3-4286-BF7E-9B90DA6B9294}"/>
            </c:ext>
          </c:extLst>
        </c:ser>
        <c:ser>
          <c:idx val="2"/>
          <c:order val="2"/>
          <c:tx>
            <c:strRef>
              <c:f>'5.3'!$B$44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'5.3'!$C$41:$D$41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'5.3'!$C$44:$D$44</c:f>
              <c:numCache>
                <c:formatCode>#,##0</c:formatCode>
                <c:ptCount val="2"/>
                <c:pt idx="0">
                  <c:v>759094.06713386299</c:v>
                </c:pt>
                <c:pt idx="1">
                  <c:v>715007.24290444877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3-4286-BF7E-9B90DA6B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396032"/>
        <c:axId val="162397568"/>
      </c:barChart>
      <c:catAx>
        <c:axId val="1623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2397568"/>
        <c:crosses val="autoZero"/>
        <c:auto val="1"/>
        <c:lblAlgn val="ctr"/>
        <c:lblOffset val="100"/>
        <c:noMultiLvlLbl val="0"/>
      </c:catAx>
      <c:valAx>
        <c:axId val="1623975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23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930668515436265"/>
          <c:w val="0.3503722759478039"/>
          <c:h val="6.28943846432007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'5.4'!$B$42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'5.4'!$C$42:$D$42</c:f>
              <c:numCache>
                <c:formatCode>#,##0</c:formatCode>
                <c:ptCount val="2"/>
                <c:pt idx="0">
                  <c:v>21782.302</c:v>
                </c:pt>
                <c:pt idx="1">
                  <c:v>17399.208390000003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D-478B-86C6-58843A0475D5}"/>
            </c:ext>
          </c:extLst>
        </c:ser>
        <c:ser>
          <c:idx val="1"/>
          <c:order val="1"/>
          <c:tx>
            <c:strRef>
              <c:f>'5.4'!$B$43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'5.4'!$C$43:$D$43</c:f>
              <c:numCache>
                <c:formatCode>#,##0</c:formatCode>
                <c:ptCount val="2"/>
                <c:pt idx="0">
                  <c:v>32935.732999</c:v>
                </c:pt>
                <c:pt idx="1">
                  <c:v>28944.269980000001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D-478B-86C6-58843A0475D5}"/>
            </c:ext>
          </c:extLst>
        </c:ser>
        <c:ser>
          <c:idx val="2"/>
          <c:order val="2"/>
          <c:tx>
            <c:strRef>
              <c:f>'5.4'!$B$44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'5.4'!$C$41:$D$41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'5.4'!$C$44:$D$44</c:f>
              <c:numCache>
                <c:formatCode>#,##0</c:formatCode>
                <c:ptCount val="2"/>
                <c:pt idx="0">
                  <c:v>36555.332001000002</c:v>
                </c:pt>
                <c:pt idx="1">
                  <c:v>34524.462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D-478B-86C6-58843A04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995840"/>
        <c:axId val="168997632"/>
      </c:barChart>
      <c:catAx>
        <c:axId val="1689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997632"/>
        <c:crosses val="autoZero"/>
        <c:auto val="1"/>
        <c:lblAlgn val="ctr"/>
        <c:lblOffset val="100"/>
        <c:noMultiLvlLbl val="0"/>
      </c:catAx>
      <c:valAx>
        <c:axId val="168997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899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930668515436265"/>
          <c:w val="0.3503722759478039"/>
          <c:h val="6.3507830899987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5.2380972021361841E-2"/>
          <c:w val="0.77090245307366301"/>
          <c:h val="0.7414176008314964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'5.4'!$H$42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'5.4'!$I$42:$J$42</c:f>
              <c:numCache>
                <c:formatCode>0.0%</c:formatCode>
                <c:ptCount val="2"/>
                <c:pt idx="0">
                  <c:v>0.2386490464408966</c:v>
                </c:pt>
                <c:pt idx="1">
                  <c:v>0.21515582455040091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A-423E-AEEF-60B715594AC9}"/>
            </c:ext>
          </c:extLst>
        </c:ser>
        <c:ser>
          <c:idx val="1"/>
          <c:order val="1"/>
          <c:tx>
            <c:strRef>
              <c:f>'5.4'!$H$43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'5.4'!$I$43:$J$43</c:f>
              <c:numCache>
                <c:formatCode>0.0%</c:formatCode>
                <c:ptCount val="2"/>
                <c:pt idx="0">
                  <c:v>0.36084713516704164</c:v>
                </c:pt>
                <c:pt idx="1">
                  <c:v>0.35792020728572443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A-423E-AEEF-60B715594AC9}"/>
            </c:ext>
          </c:extLst>
        </c:ser>
        <c:ser>
          <c:idx val="2"/>
          <c:order val="2"/>
          <c:tx>
            <c:strRef>
              <c:f>'5.4'!$H$44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'5.4'!$I$44:$J$44</c:f>
              <c:numCache>
                <c:formatCode>0.0%</c:formatCode>
                <c:ptCount val="2"/>
                <c:pt idx="0">
                  <c:v>0.40050381839206178</c:v>
                </c:pt>
                <c:pt idx="1">
                  <c:v>0.42692396816387473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A-423E-AEEF-60B71559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657280"/>
        <c:axId val="168659200"/>
      </c:barChart>
      <c:catAx>
        <c:axId val="1686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659200"/>
        <c:crosses val="autoZero"/>
        <c:auto val="1"/>
        <c:lblAlgn val="ctr"/>
        <c:lblOffset val="100"/>
        <c:noMultiLvlLbl val="0"/>
      </c:catAx>
      <c:valAx>
        <c:axId val="168659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86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445173497922801E-2"/>
          <c:y val="0.92930668515436265"/>
          <c:w val="0.5196304938297599"/>
          <c:h val="6.390147447994620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88605205003326"/>
          <c:y val="5.2380972021361841E-2"/>
          <c:w val="0.49250688350604677"/>
          <c:h val="0.76353909394041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'5.5'!$B$42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'5.5'!$C$42:$D$42</c:f>
              <c:numCache>
                <c:formatCode>#,##0</c:formatCode>
                <c:ptCount val="2"/>
                <c:pt idx="0">
                  <c:v>28854.027330000001</c:v>
                </c:pt>
                <c:pt idx="1">
                  <c:v>28506.327910000004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8-4421-8B4C-C6E0AB107E29}"/>
            </c:ext>
          </c:extLst>
        </c:ser>
        <c:ser>
          <c:idx val="1"/>
          <c:order val="1"/>
          <c:tx>
            <c:strRef>
              <c:f>'5.5'!$B$43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'5.5'!$C$43:$D$43</c:f>
              <c:numCache>
                <c:formatCode>#,##0</c:formatCode>
                <c:ptCount val="2"/>
                <c:pt idx="0">
                  <c:v>61344.728009999992</c:v>
                </c:pt>
                <c:pt idx="1">
                  <c:v>14830.559100000002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8-4421-8B4C-C6E0AB107E29}"/>
            </c:ext>
          </c:extLst>
        </c:ser>
        <c:ser>
          <c:idx val="2"/>
          <c:order val="2"/>
          <c:tx>
            <c:strRef>
              <c:f>'5.5'!$B$44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'5.5'!$C$41:$D$41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'5.5'!$C$44:$D$44</c:f>
              <c:numCache>
                <c:formatCode>#,##0</c:formatCode>
                <c:ptCount val="2"/>
                <c:pt idx="0">
                  <c:v>40561.654210000001</c:v>
                </c:pt>
                <c:pt idx="1">
                  <c:v>23662.285100000001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8-4421-8B4C-C6E0AB10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018880"/>
        <c:axId val="169020416"/>
      </c:barChart>
      <c:catAx>
        <c:axId val="1690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9020416"/>
        <c:crosses val="autoZero"/>
        <c:auto val="1"/>
        <c:lblAlgn val="ctr"/>
        <c:lblOffset val="100"/>
        <c:noMultiLvlLbl val="0"/>
      </c:catAx>
      <c:valAx>
        <c:axId val="169020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901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42393538017259E-3"/>
          <c:y val="0.92677883821858886"/>
          <c:w val="0.3503722759478039"/>
          <c:h val="7.322116747834575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'3.2'!$N$27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'3.2'!$M$28:$M$39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'3.2'!$N$28:$N$39</c:f>
              <c:numCache>
                <c:formatCode>#\ ##0.0</c:formatCode>
                <c:ptCount val="12"/>
                <c:pt idx="0">
                  <c:v>596.49069199999997</c:v>
                </c:pt>
                <c:pt idx="1">
                  <c:v>151.33870099999996</c:v>
                </c:pt>
                <c:pt idx="2">
                  <c:v>324.18707200000006</c:v>
                </c:pt>
                <c:pt idx="3">
                  <c:v>199.63674499999999</c:v>
                </c:pt>
                <c:pt idx="4">
                  <c:v>0</c:v>
                </c:pt>
                <c:pt idx="5">
                  <c:v>2.1972910000000003</c:v>
                </c:pt>
                <c:pt idx="6">
                  <c:v>9.4799999999999995E-4</c:v>
                </c:pt>
                <c:pt idx="7">
                  <c:v>0</c:v>
                </c:pt>
                <c:pt idx="8">
                  <c:v>3.4320000000000002E-3</c:v>
                </c:pt>
                <c:pt idx="9">
                  <c:v>101.78948199999999</c:v>
                </c:pt>
                <c:pt idx="10">
                  <c:v>497.59877599999999</c:v>
                </c:pt>
                <c:pt idx="11">
                  <c:v>603.09112400000004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1-45C7-A597-88D5BA9CDAB8}"/>
            </c:ext>
          </c:extLst>
        </c:ser>
        <c:ser>
          <c:idx val="1"/>
          <c:order val="1"/>
          <c:tx>
            <c:strRef>
              <c:f>'3.2'!$O$27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'3.2'!$M$28:$M$39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'3.2'!$O$28:$O$39</c:f>
              <c:numCache>
                <c:formatCode>#\ ##0.0</c:formatCode>
                <c:ptCount val="12"/>
                <c:pt idx="0">
                  <c:v>-1.8698680000000001</c:v>
                </c:pt>
                <c:pt idx="1">
                  <c:v>-11.740470000000002</c:v>
                </c:pt>
                <c:pt idx="2">
                  <c:v>-8.933484</c:v>
                </c:pt>
                <c:pt idx="3">
                  <c:v>-72.840921000000009</c:v>
                </c:pt>
                <c:pt idx="4">
                  <c:v>-327.108564</c:v>
                </c:pt>
                <c:pt idx="5">
                  <c:v>-499.66164119999996</c:v>
                </c:pt>
                <c:pt idx="6">
                  <c:v>-219.562783</c:v>
                </c:pt>
                <c:pt idx="7">
                  <c:v>-274.06606699999998</c:v>
                </c:pt>
                <c:pt idx="8">
                  <c:v>-91.407771999999994</c:v>
                </c:pt>
                <c:pt idx="9">
                  <c:v>-49.408050000000003</c:v>
                </c:pt>
                <c:pt idx="10">
                  <c:v>-6.7807319999999995</c:v>
                </c:pt>
                <c:pt idx="11">
                  <c:v>-17.302006000000002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1-45C7-A597-88D5BA9C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62464128"/>
        <c:axId val="162465664"/>
      </c:barChart>
      <c:catAx>
        <c:axId val="16246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465664"/>
        <c:crosses val="autoZero"/>
        <c:auto val="1"/>
        <c:lblAlgn val="ctr"/>
        <c:lblOffset val="100"/>
        <c:noMultiLvlLbl val="0"/>
      </c:catAx>
      <c:valAx>
        <c:axId val="16246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46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891071983580152E-3"/>
          <c:y val="0.92037766542394239"/>
          <c:w val="0.19180372348222202"/>
          <c:h val="7.907523343339069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90339916267905"/>
          <c:y val="5.4522924411400248E-2"/>
          <c:w val="0.77090245307366301"/>
          <c:h val="0.7506702182673262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'5.5'!$H$42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'5.5'!$I$42:$J$42</c:f>
              <c:numCache>
                <c:formatCode>0.0%</c:formatCode>
                <c:ptCount val="2"/>
                <c:pt idx="0">
                  <c:v>0.22066332943815714</c:v>
                </c:pt>
                <c:pt idx="1">
                  <c:v>0.42547283812996961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0-410E-B795-EC65F30D31A1}"/>
            </c:ext>
          </c:extLst>
        </c:ser>
        <c:ser>
          <c:idx val="1"/>
          <c:order val="1"/>
          <c:tx>
            <c:strRef>
              <c:f>'5.5'!$H$43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'5.5'!$I$43:$J$43</c:f>
              <c:numCache>
                <c:formatCode>0.0%</c:formatCode>
                <c:ptCount val="2"/>
                <c:pt idx="0">
                  <c:v>0.46913838998449348</c:v>
                </c:pt>
                <c:pt idx="1">
                  <c:v>0.22135436353826912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0-410E-B795-EC65F30D31A1}"/>
            </c:ext>
          </c:extLst>
        </c:ser>
        <c:ser>
          <c:idx val="2"/>
          <c:order val="2"/>
          <c:tx>
            <c:strRef>
              <c:f>'5.5'!$H$44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'5.5'!$I$41:$J$41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'5.5'!$I$44:$J$44</c:f>
              <c:numCache>
                <c:formatCode>0.0%</c:formatCode>
                <c:ptCount val="2"/>
                <c:pt idx="0">
                  <c:v>0.31019828057734922</c:v>
                </c:pt>
                <c:pt idx="1">
                  <c:v>0.35317279833176135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E0-410E-B795-EC65F30D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688640"/>
        <c:axId val="169047168"/>
      </c:barChart>
      <c:catAx>
        <c:axId val="168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9047168"/>
        <c:crosses val="autoZero"/>
        <c:auto val="1"/>
        <c:lblAlgn val="ctr"/>
        <c:lblOffset val="100"/>
        <c:noMultiLvlLbl val="0"/>
      </c:catAx>
      <c:valAx>
        <c:axId val="169047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crossAx val="1686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280557227122625E-3"/>
          <c:y val="0.92641590804866869"/>
          <c:w val="0.5196304938297599"/>
          <c:h val="7.358391856423351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4C5-4D97-9705-2AF2BCE9BB93}"/>
              </c:ext>
            </c:extLst>
          </c:dPt>
          <c:cat>
            <c:strRef>
              <c:f>'5.6'!$A$7:$A$11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'5.6'!$C$7:$C$11</c:f>
              <c:numCache>
                <c:formatCode>#,##0</c:formatCode>
                <c:ptCount val="5"/>
                <c:pt idx="0">
                  <c:v>53405.085647103995</c:v>
                </c:pt>
                <c:pt idx="1">
                  <c:v>451140.30265065399</c:v>
                </c:pt>
                <c:pt idx="2">
                  <c:v>21782.302</c:v>
                </c:pt>
                <c:pt idx="3">
                  <c:v>28854.027330000001</c:v>
                </c:pt>
                <c:pt idx="4">
                  <c:v>555181.71762775793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5-4D97-9705-2AF2BCE9B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633856"/>
        <c:axId val="170647936"/>
      </c:barChart>
      <c:catAx>
        <c:axId val="170633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0647936"/>
        <c:crosses val="autoZero"/>
        <c:auto val="1"/>
        <c:lblAlgn val="ctr"/>
        <c:lblOffset val="100"/>
        <c:noMultiLvlLbl val="0"/>
      </c:catAx>
      <c:valAx>
        <c:axId val="170647936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63385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20497323309304039"/>
          <c:w val="0.64950373511003434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2-75D4-4309-9AED-1B1D39D8D9A1}"/>
              </c:ext>
            </c:extLst>
          </c:dPt>
          <c:dPt>
            <c:idx val="1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3-75D4-4309-9AED-1B1D39D8D9A1}"/>
              </c:ext>
            </c:extLst>
          </c:dPt>
          <c:dPt>
            <c:idx val="2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4-75D4-4309-9AED-1B1D39D8D9A1}"/>
              </c:ext>
            </c:extLst>
          </c:dPt>
          <c:dPt>
            <c:idx val="3"/>
            <c:invertIfNegative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5-75D4-4309-9AED-1B1D39D8D9A1}"/>
              </c:ext>
            </c:extLst>
          </c:dPt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2BC-4465-971B-A3752841C877}"/>
              </c:ext>
            </c:extLst>
          </c:dPt>
          <c:cat>
            <c:strRef>
              <c:f>'5.6'!$A$7:$A$11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'5.6'!$G$7:$G$11</c:f>
              <c:numCache>
                <c:formatCode>#\ ##0.0</c:formatCode>
                <c:ptCount val="5"/>
                <c:pt idx="0">
                  <c:v>11.141935483870965</c:v>
                </c:pt>
                <c:pt idx="1">
                  <c:v>9.9021505376344088</c:v>
                </c:pt>
                <c:pt idx="2">
                  <c:v>9.5709677419354815</c:v>
                </c:pt>
                <c:pt idx="3">
                  <c:v>9.9064516129032238</c:v>
                </c:pt>
                <c:pt idx="4">
                  <c:v>9.9064516129032238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BC-4465-971B-A3752841C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275584"/>
        <c:axId val="170277120"/>
      </c:barChart>
      <c:catAx>
        <c:axId val="170275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277120"/>
        <c:crosses val="autoZero"/>
        <c:auto val="1"/>
        <c:lblAlgn val="ctr"/>
        <c:lblOffset val="100"/>
        <c:noMultiLvlLbl val="0"/>
      </c:catAx>
      <c:valAx>
        <c:axId val="170277120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275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512737836553811"/>
          <c:h val="0.787178035960902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E05-4306-9851-6169F5F521BE}"/>
              </c:ext>
            </c:extLst>
          </c:dPt>
          <c:cat>
            <c:strRef>
              <c:f>'5.6'!$A$7:$A$11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'5.6'!$H$7:$H$11</c:f>
              <c:numCache>
                <c:formatCode>#\ ##0.0</c:formatCode>
                <c:ptCount val="5"/>
                <c:pt idx="0">
                  <c:v>16</c:v>
                </c:pt>
                <c:pt idx="1">
                  <c:v>14.616666666666665</c:v>
                </c:pt>
                <c:pt idx="2">
                  <c:v>13.8</c:v>
                </c:pt>
                <c:pt idx="3">
                  <c:v>14.6</c:v>
                </c:pt>
                <c:pt idx="4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5-4306-9851-6169F5F521BE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E05-4306-9851-6169F5F521BE}"/>
              </c:ext>
            </c:extLst>
          </c:dPt>
          <c:cat>
            <c:strRef>
              <c:f>'5.6'!$A$7:$A$11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'5.6'!$I$7:$I$11</c:f>
              <c:numCache>
                <c:formatCode>#\ ##0.0</c:formatCode>
                <c:ptCount val="5"/>
                <c:pt idx="0">
                  <c:v>7.7</c:v>
                </c:pt>
                <c:pt idx="1">
                  <c:v>6.0166666666666666</c:v>
                </c:pt>
                <c:pt idx="2">
                  <c:v>6.9</c:v>
                </c:pt>
                <c:pt idx="3">
                  <c:v>6.2</c:v>
                </c:pt>
                <c:pt idx="4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05-4306-9851-6169F5F5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0308352"/>
        <c:axId val="170309888"/>
      </c:barChart>
      <c:catAx>
        <c:axId val="17030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309888"/>
        <c:crosses val="autoZero"/>
        <c:auto val="1"/>
        <c:lblAlgn val="ctr"/>
        <c:lblOffset val="100"/>
        <c:noMultiLvlLbl val="0"/>
      </c:catAx>
      <c:valAx>
        <c:axId val="17030988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308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2A04-426F-B110-21F54C9DB531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2A04-426F-B110-21F54C9DB531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2A04-426F-B110-21F54C9DB531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2A04-426F-B110-21F54C9DB531}"/>
              </c:ext>
            </c:extLst>
          </c:dPt>
          <c:dLbls>
            <c:dLbl>
              <c:idx val="0"/>
              <c:layout>
                <c:manualLayout>
                  <c:x val="-0.2092697417917585"/>
                  <c:y val="0.2400304925119654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4-426F-B110-21F54C9DB531}"/>
                </c:ext>
              </c:extLst>
            </c:dLbl>
            <c:dLbl>
              <c:idx val="1"/>
              <c:layout>
                <c:manualLayout>
                  <c:x val="0.33687823658444793"/>
                  <c:y val="-0.1008792650918635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4-426F-B110-21F54C9DB531}"/>
                </c:ext>
              </c:extLst>
            </c:dLbl>
            <c:dLbl>
              <c:idx val="2"/>
              <c:layout>
                <c:manualLayout>
                  <c:x val="0.17075889327553034"/>
                  <c:y val="0.153449899644897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4-426F-B110-21F54C9DB531}"/>
                </c:ext>
              </c:extLst>
            </c:dLbl>
            <c:dLbl>
              <c:idx val="3"/>
              <c:layout>
                <c:manualLayout>
                  <c:x val="-9.1761723357055621E-3"/>
                  <c:y val="0.200859194071329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4-426F-B110-21F54C9DB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'5.6'!$A$7:$A$10</c:f>
              <c:strCache>
                <c:ptCount val="4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</c:strCache>
            </c:strRef>
          </c:cat>
          <c:val>
            <c:numRef>
              <c:f>'5.6'!$E$7:$E$10</c:f>
              <c:numCache>
                <c:formatCode>0.0%</c:formatCode>
                <c:ptCount val="4"/>
                <c:pt idx="0">
                  <c:v>9.6193883824739715E-2</c:v>
                </c:pt>
                <c:pt idx="1">
                  <c:v>0.81259934959374447</c:v>
                </c:pt>
                <c:pt idx="2">
                  <c:v>3.9234544849700452E-2</c:v>
                </c:pt>
                <c:pt idx="3">
                  <c:v>5.1972221731815468E-2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04-426F-B110-21F54C9D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9F7F-4C12-9CAF-62086B6BC9E1}"/>
              </c:ext>
            </c:extLst>
          </c:dPt>
          <c:cat>
            <c:strRef>
              <c:f>'5.7'!$A$7:$A$11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'5.7'!$C$7:$C$11</c:f>
              <c:numCache>
                <c:formatCode>#,##0</c:formatCode>
                <c:ptCount val="5"/>
                <c:pt idx="0">
                  <c:v>95661.501860338001</c:v>
                </c:pt>
                <c:pt idx="1">
                  <c:v>675535.3102779258</c:v>
                </c:pt>
                <c:pt idx="2">
                  <c:v>32935.732999</c:v>
                </c:pt>
                <c:pt idx="3">
                  <c:v>61344.728009999992</c:v>
                </c:pt>
                <c:pt idx="4">
                  <c:v>865477.2731472638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F-4C12-9CAF-62086B6BC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968960"/>
        <c:axId val="170970496"/>
      </c:barChart>
      <c:catAx>
        <c:axId val="170968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0970496"/>
        <c:crosses val="autoZero"/>
        <c:auto val="1"/>
        <c:lblAlgn val="ctr"/>
        <c:lblOffset val="100"/>
        <c:noMultiLvlLbl val="0"/>
      </c:catAx>
      <c:valAx>
        <c:axId val="170970496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968960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20497323309304039"/>
          <c:w val="0.64950373511003434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ED29-486A-AE96-2524202E0B3F}"/>
              </c:ext>
            </c:extLst>
          </c:dPt>
          <c:cat>
            <c:strRef>
              <c:f>'5.7'!$A$7:$A$11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'5.7'!$G$7:$G$11</c:f>
              <c:numCache>
                <c:formatCode>#\ ##0.0</c:formatCode>
                <c:ptCount val="5"/>
                <c:pt idx="0">
                  <c:v>4.0933333333333328</c:v>
                </c:pt>
                <c:pt idx="1">
                  <c:v>2.9844444444444442</c:v>
                </c:pt>
                <c:pt idx="2">
                  <c:v>2.77</c:v>
                </c:pt>
                <c:pt idx="3">
                  <c:v>2.9600000000000004</c:v>
                </c:pt>
                <c:pt idx="4">
                  <c:v>2.9600000000000004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9-486A-AE96-2524202E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9095168"/>
        <c:axId val="169096704"/>
      </c:barChart>
      <c:catAx>
        <c:axId val="169095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69096704"/>
        <c:crosses val="autoZero"/>
        <c:auto val="1"/>
        <c:lblAlgn val="ctr"/>
        <c:lblOffset val="100"/>
        <c:noMultiLvlLbl val="0"/>
      </c:catAx>
      <c:valAx>
        <c:axId val="169096704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9095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117089963161121"/>
          <c:h val="0.829987579364642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2DF-426E-8B9F-1A852D9FA533}"/>
              </c:ext>
            </c:extLst>
          </c:dPt>
          <c:cat>
            <c:strRef>
              <c:f>'5.7'!$A$7:$A$11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'5.7'!$H$7:$H$11</c:f>
              <c:numCache>
                <c:formatCode>#\ ##0.0</c:formatCode>
                <c:ptCount val="5"/>
                <c:pt idx="0">
                  <c:v>9.9</c:v>
                </c:pt>
                <c:pt idx="1">
                  <c:v>7.6000000000000005</c:v>
                </c:pt>
                <c:pt idx="2">
                  <c:v>7.4</c:v>
                </c:pt>
                <c:pt idx="3">
                  <c:v>7.5</c:v>
                </c:pt>
                <c:pt idx="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F-426E-8B9F-1A852D9FA533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2DF-426E-8B9F-1A852D9FA533}"/>
              </c:ext>
            </c:extLst>
          </c:dPt>
          <c:cat>
            <c:strRef>
              <c:f>'5.7'!$A$7:$A$11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'5.7'!$I$7:$I$11</c:f>
              <c:numCache>
                <c:formatCode>#\ ##0.0</c:formatCode>
                <c:ptCount val="5"/>
                <c:pt idx="0">
                  <c:v>0.3</c:v>
                </c:pt>
                <c:pt idx="1">
                  <c:v>-0.6166666666666667</c:v>
                </c:pt>
                <c:pt idx="2">
                  <c:v>-0.7</c:v>
                </c:pt>
                <c:pt idx="3">
                  <c:v>-0.6</c:v>
                </c:pt>
                <c:pt idx="4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DF-426E-8B9F-1A852D9FA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0811392"/>
        <c:axId val="170812928"/>
      </c:barChart>
      <c:catAx>
        <c:axId val="17081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812928"/>
        <c:crosses val="autoZero"/>
        <c:auto val="1"/>
        <c:lblAlgn val="ctr"/>
        <c:lblOffset val="100"/>
        <c:noMultiLvlLbl val="0"/>
      </c:catAx>
      <c:valAx>
        <c:axId val="17081292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811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D74A-47F2-A3C8-F00D6B796032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D74A-47F2-A3C8-F00D6B796032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D74A-47F2-A3C8-F00D6B796032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D74A-47F2-A3C8-F00D6B796032}"/>
              </c:ext>
            </c:extLst>
          </c:dPt>
          <c:dLbls>
            <c:dLbl>
              <c:idx val="0"/>
              <c:layout>
                <c:manualLayout>
                  <c:x val="-0.26884366845236024"/>
                  <c:y val="0.230226956924502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A-47F2-A3C8-F00D6B796032}"/>
                </c:ext>
              </c:extLst>
            </c:dLbl>
            <c:dLbl>
              <c:idx val="1"/>
              <c:layout>
                <c:manualLayout>
                  <c:x val="0.33491624552514565"/>
                  <c:y val="-9.46436289103438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A-47F2-A3C8-F00D6B796032}"/>
                </c:ext>
              </c:extLst>
            </c:dLbl>
            <c:dLbl>
              <c:idx val="2"/>
              <c:layout>
                <c:manualLayout>
                  <c:x val="0.19125068332858941"/>
                  <c:y val="0.1632538212135246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A-47F2-A3C8-F00D6B796032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A-47F2-A3C8-F00D6B7960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'5.7'!$A$7:$A$10</c:f>
              <c:strCache>
                <c:ptCount val="4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</c:strCache>
            </c:strRef>
          </c:cat>
          <c:val>
            <c:numRef>
              <c:f>'5.7'!$E$7:$E$10</c:f>
              <c:numCache>
                <c:formatCode>0.0%</c:formatCode>
                <c:ptCount val="4"/>
                <c:pt idx="0">
                  <c:v>0.11053034531163348</c:v>
                </c:pt>
                <c:pt idx="1">
                  <c:v>0.78053500795159669</c:v>
                </c:pt>
                <c:pt idx="2">
                  <c:v>3.8054994649635215E-2</c:v>
                </c:pt>
                <c:pt idx="3">
                  <c:v>7.0879652087134565E-2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A-47F2-A3C8-F00D6B796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CB5-4FBE-977D-CDDB9242C6BE}"/>
              </c:ext>
            </c:extLst>
          </c:dPt>
          <c:cat>
            <c:strRef>
              <c:f>'5.8'!$A$7:$A$11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'5.8'!$C$7:$C$11</c:f>
              <c:numCache>
                <c:formatCode>#,##0</c:formatCode>
                <c:ptCount val="5"/>
                <c:pt idx="0">
                  <c:v>113032.593855642</c:v>
                </c:pt>
                <c:pt idx="1">
                  <c:v>759094.06713386299</c:v>
                </c:pt>
                <c:pt idx="2">
                  <c:v>36555.332001000002</c:v>
                </c:pt>
                <c:pt idx="3">
                  <c:v>40561.654210000001</c:v>
                </c:pt>
                <c:pt idx="4">
                  <c:v>949243.6472005049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5-4FBE-977D-CDDB9242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8719488"/>
        <c:axId val="168721024"/>
      </c:barChart>
      <c:catAx>
        <c:axId val="168719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8721024"/>
        <c:crosses val="autoZero"/>
        <c:auto val="1"/>
        <c:lblAlgn val="ctr"/>
        <c:lblOffset val="100"/>
        <c:noMultiLvlLbl val="0"/>
      </c:catAx>
      <c:valAx>
        <c:axId val="168721024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8719488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7667222797443E-2"/>
          <c:y val="7.1139872600047768E-2"/>
          <c:w val="0.876392993628898"/>
          <c:h val="0.6074270638074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'4.1'!$E$28</c:f>
              <c:strCache>
                <c:ptCount val="1"/>
                <c:pt idx="0">
                  <c:v>Skutečnost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'4.1'!$D$29:$D$40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'4.1'!$E$29:$E$40</c:f>
              <c:numCache>
                <c:formatCode>#\ ##0.0</c:formatCode>
                <c:ptCount val="12"/>
                <c:pt idx="0">
                  <c:v>1051.8509986812032</c:v>
                </c:pt>
                <c:pt idx="1">
                  <c:v>707.94480425791289</c:v>
                </c:pt>
                <c:pt idx="2">
                  <c:v>655.0035079944048</c:v>
                </c:pt>
                <c:pt idx="3">
                  <c:v>474.79681431326793</c:v>
                </c:pt>
                <c:pt idx="4">
                  <c:v>326.62957502353277</c:v>
                </c:pt>
                <c:pt idx="5">
                  <c:v>294.08268280600646</c:v>
                </c:pt>
                <c:pt idx="6">
                  <c:v>269.85784670868031</c:v>
                </c:pt>
                <c:pt idx="7">
                  <c:v>280.15222038277369</c:v>
                </c:pt>
                <c:pt idx="8">
                  <c:v>336.54394803244486</c:v>
                </c:pt>
                <c:pt idx="9">
                  <c:v>555.18162526233971</c:v>
                </c:pt>
                <c:pt idx="10">
                  <c:v>865.4774527318192</c:v>
                </c:pt>
                <c:pt idx="11">
                  <c:v>949.24370870291034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4-4339-BB83-47F9E5C24E45}"/>
            </c:ext>
          </c:extLst>
        </c:ser>
        <c:ser>
          <c:idx val="1"/>
          <c:order val="1"/>
          <c:tx>
            <c:strRef>
              <c:f>'4.1'!$F$28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'4.1'!$D$29:$D$40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'4.1'!$F$29:$F$40</c:f>
              <c:numCache>
                <c:formatCode>#\ ##0.0</c:formatCode>
                <c:ptCount val="12"/>
                <c:pt idx="0">
                  <c:v>1084.9582110813419</c:v>
                </c:pt>
                <c:pt idx="1">
                  <c:v>882.9526091238165</c:v>
                </c:pt>
                <c:pt idx="2">
                  <c:v>785.93616741470794</c:v>
                </c:pt>
                <c:pt idx="3">
                  <c:v>523.42919642256436</c:v>
                </c:pt>
                <c:pt idx="4">
                  <c:v>348.29453318579641</c:v>
                </c:pt>
                <c:pt idx="5">
                  <c:v>299.58293571686659</c:v>
                </c:pt>
                <c:pt idx="6">
                  <c:v>276.58693408234467</c:v>
                </c:pt>
                <c:pt idx="7">
                  <c:v>288.50439631378231</c:v>
                </c:pt>
                <c:pt idx="8">
                  <c:v>361.93390634522922</c:v>
                </c:pt>
                <c:pt idx="9">
                  <c:v>593.36219588806307</c:v>
                </c:pt>
                <c:pt idx="10">
                  <c:v>843.13227405655152</c:v>
                </c:pt>
                <c:pt idx="11">
                  <c:v>996.0181899766294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4-4339-BB83-47F9E5C24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2885632"/>
        <c:axId val="162887168"/>
      </c:barChart>
      <c:catAx>
        <c:axId val="1628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887168"/>
        <c:crosses val="autoZero"/>
        <c:auto val="1"/>
        <c:lblAlgn val="ctr"/>
        <c:lblOffset val="100"/>
        <c:noMultiLvlLbl val="0"/>
      </c:catAx>
      <c:valAx>
        <c:axId val="1628871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8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090010774851205E-3"/>
          <c:y val="0.89268772123053763"/>
          <c:w val="0.28870175114184005"/>
          <c:h val="9.60103109530451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20497323309304039"/>
          <c:w val="0.64950373511003434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B2B5-4B1A-8498-97C66ED7FF48}"/>
              </c:ext>
            </c:extLst>
          </c:dPt>
          <c:cat>
            <c:strRef>
              <c:f>'5.8'!$A$7:$A$11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'5.8'!$G$7:$G$11</c:f>
              <c:numCache>
                <c:formatCode>#\ ##0.0</c:formatCode>
                <c:ptCount val="5"/>
                <c:pt idx="0">
                  <c:v>2.1451612903225818</c:v>
                </c:pt>
                <c:pt idx="1">
                  <c:v>1.0473118279569889</c:v>
                </c:pt>
                <c:pt idx="2">
                  <c:v>0.78387096774193565</c:v>
                </c:pt>
                <c:pt idx="3">
                  <c:v>1.0193548387096774</c:v>
                </c:pt>
                <c:pt idx="4">
                  <c:v>1.0193548387096774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5-4B1A-8498-97C66ED7F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900480"/>
        <c:axId val="170902272"/>
      </c:barChart>
      <c:catAx>
        <c:axId val="170900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0902272"/>
        <c:crosses val="autoZero"/>
        <c:auto val="1"/>
        <c:lblAlgn val="ctr"/>
        <c:lblOffset val="100"/>
        <c:noMultiLvlLbl val="0"/>
      </c:catAx>
      <c:valAx>
        <c:axId val="17090227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900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2512737836553811"/>
          <c:h val="0.81424572325100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A63-446F-ACAA-1D638CAF4F26}"/>
              </c:ext>
            </c:extLst>
          </c:dPt>
          <c:cat>
            <c:strRef>
              <c:f>'5.8'!$A$7:$A$11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'5.8'!$H$7:$H$11</c:f>
              <c:numCache>
                <c:formatCode>#\ ##0.0</c:formatCode>
                <c:ptCount val="5"/>
                <c:pt idx="0">
                  <c:v>10.4</c:v>
                </c:pt>
                <c:pt idx="1">
                  <c:v>6.5666666666666673</c:v>
                </c:pt>
                <c:pt idx="2">
                  <c:v>6.8</c:v>
                </c:pt>
                <c:pt idx="3">
                  <c:v>6.5</c:v>
                </c:pt>
                <c:pt idx="4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63-446F-ACAA-1D638CAF4F26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A63-446F-ACAA-1D638CAF4F26}"/>
              </c:ext>
            </c:extLst>
          </c:dPt>
          <c:cat>
            <c:strRef>
              <c:f>'5.8'!$A$7:$A$11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'5.8'!$I$7:$I$11</c:f>
              <c:numCache>
                <c:formatCode>#\ ##0.0</c:formatCode>
                <c:ptCount val="5"/>
                <c:pt idx="0">
                  <c:v>-3.5</c:v>
                </c:pt>
                <c:pt idx="1">
                  <c:v>-2.6166666666666667</c:v>
                </c:pt>
                <c:pt idx="2">
                  <c:v>-3</c:v>
                </c:pt>
                <c:pt idx="3">
                  <c:v>-2.6</c:v>
                </c:pt>
                <c:pt idx="4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63-446F-ACAA-1D638CAF4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8795136"/>
        <c:axId val="168796928"/>
      </c:barChart>
      <c:catAx>
        <c:axId val="168795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68796928"/>
        <c:crosses val="autoZero"/>
        <c:auto val="1"/>
        <c:lblAlgn val="ctr"/>
        <c:lblOffset val="100"/>
        <c:noMultiLvlLbl val="0"/>
      </c:catAx>
      <c:valAx>
        <c:axId val="168796928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687951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spPr>
            <a:solidFill>
              <a:srgbClr val="233060"/>
            </a:solidFill>
          </c:spPr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29A4-4EB2-A29D-EA3C089C4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A4-4EB2-A29D-EA3C089C4B49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29A4-4EB2-A29D-EA3C089C4B49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29A4-4EB2-A29D-EA3C089C4B49}"/>
              </c:ext>
            </c:extLst>
          </c:dPt>
          <c:dLbls>
            <c:dLbl>
              <c:idx val="0"/>
              <c:layout>
                <c:manualLayout>
                  <c:x val="-0.17481783779673074"/>
                  <c:y val="0.21061911378724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A4-4EB2-A29D-EA3C089C4B49}"/>
                </c:ext>
              </c:extLst>
            </c:dLbl>
            <c:dLbl>
              <c:idx val="1"/>
              <c:layout>
                <c:manualLayout>
                  <c:x val="0.36759483548082744"/>
                  <c:y val="-9.10753435232360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4-4EB2-A29D-EA3C089C4B49}"/>
                </c:ext>
              </c:extLst>
            </c:dLbl>
            <c:dLbl>
              <c:idx val="2"/>
              <c:layout>
                <c:manualLayout>
                  <c:x val="0.21584083139226054"/>
                  <c:y val="0.1975675467037206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4-4EB2-A29D-EA3C089C4B49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4-4EB2-A29D-EA3C089C4B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'5.8'!$A$7:$A$10</c:f>
              <c:strCache>
                <c:ptCount val="4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</c:strCache>
            </c:strRef>
          </c:cat>
          <c:val>
            <c:numRef>
              <c:f>'5.8'!$E$7:$E$10</c:f>
              <c:numCache>
                <c:formatCode>0.0%</c:formatCode>
                <c:ptCount val="4"/>
                <c:pt idx="0">
                  <c:v>0.11907648177472246</c:v>
                </c:pt>
                <c:pt idx="1">
                  <c:v>0.79968306279696666</c:v>
                </c:pt>
                <c:pt idx="2">
                  <c:v>3.850995696290245E-2</c:v>
                </c:pt>
                <c:pt idx="3">
                  <c:v>4.2730498465408565E-2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A4-4EB2-A29D-EA3C089C4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4962488754057"/>
          <c:y val="0.20193508574490635"/>
          <c:w val="0.46547850073981545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A53-42DC-AA31-2FE6E2913223}"/>
              </c:ext>
            </c:extLst>
          </c:dPt>
          <c:cat>
            <c:strRef>
              <c:f>'5.9'!$A$7:$A$11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'5.9'!$C$7:$C$11</c:f>
              <c:numCache>
                <c:formatCode>#,##0</c:formatCode>
                <c:ptCount val="5"/>
                <c:pt idx="0">
                  <c:v>262099.181363084</c:v>
                </c:pt>
                <c:pt idx="1">
                  <c:v>1885769.680062443</c:v>
                </c:pt>
                <c:pt idx="2">
                  <c:v>91273.366999999998</c:v>
                </c:pt>
                <c:pt idx="3">
                  <c:v>130760.40955000001</c:v>
                </c:pt>
                <c:pt idx="4">
                  <c:v>2369902.637975527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3-42DC-AA31-2FE6E2913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528576"/>
        <c:axId val="171530112"/>
      </c:barChart>
      <c:catAx>
        <c:axId val="171528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1530112"/>
        <c:crosses val="autoZero"/>
        <c:auto val="1"/>
        <c:lblAlgn val="ctr"/>
        <c:lblOffset val="100"/>
        <c:noMultiLvlLbl val="0"/>
      </c:catAx>
      <c:valAx>
        <c:axId val="171530112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528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20497323309304039"/>
          <c:w val="0.64950373511003434"/>
          <c:h val="0.783457679272421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D3EA-4BED-B822-0F67D5D34198}"/>
              </c:ext>
            </c:extLst>
          </c:dPt>
          <c:cat>
            <c:strRef>
              <c:f>'5.9'!$A$7:$A$11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'5.9'!$G$7:$G$11</c:f>
              <c:numCache>
                <c:formatCode>#\ ##0.0</c:formatCode>
                <c:ptCount val="5"/>
                <c:pt idx="0">
                  <c:v>5.7934767025089586</c:v>
                </c:pt>
                <c:pt idx="1">
                  <c:v>4.6446356033452805</c:v>
                </c:pt>
                <c:pt idx="2">
                  <c:v>4.3749462365591389</c:v>
                </c:pt>
                <c:pt idx="3">
                  <c:v>4.6286021505376338</c:v>
                </c:pt>
                <c:pt idx="4">
                  <c:v>4.6286021505376338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EA-4BED-B822-0F67D5D3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563264"/>
        <c:axId val="171569152"/>
      </c:barChart>
      <c:catAx>
        <c:axId val="171563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1569152"/>
        <c:crosses val="autoZero"/>
        <c:auto val="1"/>
        <c:lblAlgn val="ctr"/>
        <c:lblOffset val="100"/>
        <c:noMultiLvlLbl val="0"/>
      </c:catAx>
      <c:valAx>
        <c:axId val="17156915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56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1721442089768441"/>
          <c:h val="0.802050017469831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233060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6EC-4732-BE63-1707B24CD49D}"/>
              </c:ext>
            </c:extLst>
          </c:dPt>
          <c:cat>
            <c:strRef>
              <c:f>'5.9'!$A$7:$A$11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'5.9'!$H$7:$H$11</c:f>
              <c:numCache>
                <c:formatCode>#\ ##0.0</c:formatCode>
                <c:ptCount val="5"/>
                <c:pt idx="0">
                  <c:v>16</c:v>
                </c:pt>
                <c:pt idx="1">
                  <c:v>14.616666666666665</c:v>
                </c:pt>
                <c:pt idx="2">
                  <c:v>13.8</c:v>
                </c:pt>
                <c:pt idx="3">
                  <c:v>14.6</c:v>
                </c:pt>
                <c:pt idx="4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C-4732-BE63-1707B24CD49D}"/>
            </c:ext>
          </c:extLst>
        </c:ser>
        <c:ser>
          <c:idx val="1"/>
          <c:order val="1"/>
          <c:spPr>
            <a:solidFill>
              <a:srgbClr val="C7CCD6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C7CCD6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6EC-4732-BE63-1707B24CD49D}"/>
              </c:ext>
            </c:extLst>
          </c:dPt>
          <c:cat>
            <c:strRef>
              <c:f>'5.9'!$A$7:$A$11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'5.9'!$I$7:$I$11</c:f>
              <c:numCache>
                <c:formatCode>#\ ##0.0</c:formatCode>
                <c:ptCount val="5"/>
                <c:pt idx="0">
                  <c:v>-3.5</c:v>
                </c:pt>
                <c:pt idx="1">
                  <c:v>-2.6166666666666667</c:v>
                </c:pt>
                <c:pt idx="2">
                  <c:v>-3</c:v>
                </c:pt>
                <c:pt idx="3">
                  <c:v>-2.6</c:v>
                </c:pt>
                <c:pt idx="4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EC-4732-BE63-1707B24C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1600128"/>
        <c:axId val="171601920"/>
      </c:barChart>
      <c:catAx>
        <c:axId val="171600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71601920"/>
        <c:crosses val="autoZero"/>
        <c:auto val="1"/>
        <c:lblAlgn val="ctr"/>
        <c:lblOffset val="100"/>
        <c:noMultiLvlLbl val="0"/>
      </c:catAx>
      <c:valAx>
        <c:axId val="171601920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600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03370280307976"/>
          <c:y val="8.6747722711131681E-2"/>
          <c:w val="0.64093697156216622"/>
          <c:h val="0.728123745561216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0-B89B-4832-B10E-25928D6B472E}"/>
              </c:ext>
            </c:extLst>
          </c:dPt>
          <c:dPt>
            <c:idx val="1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B89B-4832-B10E-25928D6B472E}"/>
              </c:ext>
            </c:extLst>
          </c:dPt>
          <c:dPt>
            <c:idx val="2"/>
            <c:bubble3D val="0"/>
            <c:spPr>
              <a:solidFill>
                <a:srgbClr val="C7CCD6"/>
              </a:solidFill>
            </c:spPr>
            <c:extLst>
              <c:ext xmlns:c16="http://schemas.microsoft.com/office/drawing/2014/chart" uri="{C3380CC4-5D6E-409C-BE32-E72D297353CC}">
                <c16:uniqueId val="{00000002-B89B-4832-B10E-25928D6B472E}"/>
              </c:ext>
            </c:extLst>
          </c:dPt>
          <c:dPt>
            <c:idx val="3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3-B89B-4832-B10E-25928D6B472E}"/>
              </c:ext>
            </c:extLst>
          </c:dPt>
          <c:dLbls>
            <c:dLbl>
              <c:idx val="0"/>
              <c:layout>
                <c:manualLayout>
                  <c:x val="-0.17801356659866183"/>
                  <c:y val="0.2008151922186197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B-4832-B10E-25928D6B472E}"/>
                </c:ext>
              </c:extLst>
            </c:dLbl>
            <c:dLbl>
              <c:idx val="1"/>
              <c:layout>
                <c:manualLayout>
                  <c:x val="0.33594444964749431"/>
                  <c:y val="-0.1135733296495832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B-4832-B10E-25928D6B472E}"/>
                </c:ext>
              </c:extLst>
            </c:dLbl>
            <c:dLbl>
              <c:idx val="2"/>
              <c:layout>
                <c:manualLayout>
                  <c:x val="0.21584083139226048"/>
                  <c:y val="0.1975675467037207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B-4832-B10E-25928D6B472E}"/>
                </c:ext>
              </c:extLst>
            </c:dLbl>
            <c:dLbl>
              <c:idx val="3"/>
              <c:layout>
                <c:manualLayout>
                  <c:x val="-2.1404057519178857E-2"/>
                  <c:y val="0.196078431372548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B-4832-B10E-25928D6B47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'5.9'!$A$7:$A$10</c:f>
              <c:strCache>
                <c:ptCount val="4"/>
                <c:pt idx="0">
                  <c:v>PP Distribuce</c:v>
                </c:pt>
                <c:pt idx="1">
                  <c:v>GasNet</c:v>
                </c:pt>
                <c:pt idx="2">
                  <c:v>EG.D</c:v>
                </c:pt>
                <c:pt idx="3">
                  <c:v>Ostatní společnosti</c:v>
                </c:pt>
              </c:strCache>
            </c:strRef>
          </c:cat>
          <c:val>
            <c:numRef>
              <c:f>'5.9'!$E$7:$E$10</c:f>
              <c:numCache>
                <c:formatCode>0.0%</c:formatCode>
                <c:ptCount val="4"/>
                <c:pt idx="0">
                  <c:v>0.11059491523541255</c:v>
                </c:pt>
                <c:pt idx="1">
                  <c:v>0.79571609814036448</c:v>
                </c:pt>
                <c:pt idx="2">
                  <c:v>3.8513551374401461E-2</c:v>
                </c:pt>
                <c:pt idx="3">
                  <c:v>5.5175435249821568E-2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B-4832-B10E-25928D6B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88368183584301"/>
          <c:y val="6.4472404866917424E-2"/>
          <c:w val="0.7690258581725623"/>
          <c:h val="0.73605807575454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'5.10'!$D$31</c:f>
              <c:strCache>
                <c:ptCount val="1"/>
                <c:pt idx="0">
                  <c:v>I. čtvrtletí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'5.10'!$E$31:$H$31</c:f>
              <c:numCache>
                <c:formatCode>General</c:formatCode>
                <c:ptCount val="4"/>
                <c:pt idx="0">
                  <c:v>281254.80964888004</c:v>
                </c:pt>
                <c:pt idx="1">
                  <c:v>1966706.1411176075</c:v>
                </c:pt>
                <c:pt idx="2">
                  <c:v>94930.078320000001</c:v>
                </c:pt>
                <c:pt idx="3">
                  <c:v>71908.259170000005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7-498D-83D8-17C8283F0A2B}"/>
            </c:ext>
          </c:extLst>
        </c:ser>
        <c:ser>
          <c:idx val="1"/>
          <c:order val="1"/>
          <c:tx>
            <c:strRef>
              <c:f>'5.10'!$D$32</c:f>
              <c:strCache>
                <c:ptCount val="1"/>
                <c:pt idx="0">
                  <c:v>II. čtvrtletí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'5.10'!$E$32:$H$32</c:f>
              <c:numCache>
                <c:formatCode>General</c:formatCode>
                <c:ptCount val="4"/>
                <c:pt idx="0">
                  <c:v>92010.801582209999</c:v>
                </c:pt>
                <c:pt idx="1">
                  <c:v>889019.64625492692</c:v>
                </c:pt>
                <c:pt idx="2">
                  <c:v>41039.089019999999</c:v>
                </c:pt>
                <c:pt idx="3">
                  <c:v>73439.729610000009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7-498D-83D8-17C8283F0A2B}"/>
            </c:ext>
          </c:extLst>
        </c:ser>
        <c:ser>
          <c:idx val="2"/>
          <c:order val="2"/>
          <c:tx>
            <c:strRef>
              <c:f>'5.10'!$D$33</c:f>
              <c:strCache>
                <c:ptCount val="1"/>
                <c:pt idx="0">
                  <c:v>III. čtvrtletí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'5.10'!$E$33:$H$33</c:f>
              <c:numCache>
                <c:formatCode>General</c:formatCode>
                <c:ptCount val="4"/>
                <c:pt idx="0">
                  <c:v>59639.906113785008</c:v>
                </c:pt>
                <c:pt idx="1">
                  <c:v>726747.644840352</c:v>
                </c:pt>
                <c:pt idx="2">
                  <c:v>31447.214001</c:v>
                </c:pt>
                <c:pt idx="3">
                  <c:v>68720.388269999996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7-498D-83D8-17C8283F0A2B}"/>
            </c:ext>
          </c:extLst>
        </c:ser>
        <c:ser>
          <c:idx val="3"/>
          <c:order val="3"/>
          <c:tx>
            <c:strRef>
              <c:f>'5.10'!$D$34</c:f>
              <c:strCache>
                <c:ptCount val="1"/>
                <c:pt idx="0">
                  <c:v>IV. čtvrtletí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'5.10'!$E$30:$H$30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EG.D</c:v>
                </c:pt>
                <c:pt idx="3">
                  <c:v> Ostatní společnosti</c:v>
                </c:pt>
              </c:strCache>
            </c:strRef>
          </c:cat>
          <c:val>
            <c:numRef>
              <c:f>'5.10'!$E$34:$H$34</c:f>
              <c:numCache>
                <c:formatCode>General</c:formatCode>
                <c:ptCount val="4"/>
                <c:pt idx="0">
                  <c:v>262099.181363084</c:v>
                </c:pt>
                <c:pt idx="1">
                  <c:v>1885769.6800624428</c:v>
                </c:pt>
                <c:pt idx="2">
                  <c:v>91273.366999999998</c:v>
                </c:pt>
                <c:pt idx="3">
                  <c:v>130760.40955000001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7-498D-83D8-17C8283F0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1329792"/>
        <c:axId val="171335680"/>
      </c:barChart>
      <c:catAx>
        <c:axId val="17132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1335680"/>
        <c:crosses val="autoZero"/>
        <c:auto val="1"/>
        <c:lblAlgn val="ctr"/>
        <c:lblOffset val="100"/>
        <c:noMultiLvlLbl val="0"/>
      </c:catAx>
      <c:valAx>
        <c:axId val="171335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7132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666270190546593E-3"/>
          <c:y val="0.92739706505758956"/>
          <c:w val="0.42063452038283733"/>
          <c:h val="5.049520595639830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203704160804351"/>
          <c:y val="0.11005524565183827"/>
          <c:w val="0.5467811978048198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'6.8'!$A$7:$A$20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'6.8'!$D$7:$D$20</c:f>
              <c:numCache>
                <c:formatCode>#,##0</c:formatCode>
                <c:ptCount val="14"/>
                <c:pt idx="0">
                  <c:v>210192.98866099998</c:v>
                </c:pt>
                <c:pt idx="1">
                  <c:v>785221.19422999991</c:v>
                </c:pt>
                <c:pt idx="2">
                  <c:v>174799.9241</c:v>
                </c:pt>
                <c:pt idx="3">
                  <c:v>249051.68495000002</c:v>
                </c:pt>
                <c:pt idx="4">
                  <c:v>223123.33414999998</c:v>
                </c:pt>
                <c:pt idx="5">
                  <c:v>626936.07996999996</c:v>
                </c:pt>
                <c:pt idx="6">
                  <c:v>346368.74312</c:v>
                </c:pt>
                <c:pt idx="7">
                  <c:v>253464.75915</c:v>
                </c:pt>
                <c:pt idx="8">
                  <c:v>278718.60972000001</c:v>
                </c:pt>
                <c:pt idx="9">
                  <c:v>572690.59832392307</c:v>
                </c:pt>
                <c:pt idx="10">
                  <c:v>874126.00783699995</c:v>
                </c:pt>
                <c:pt idx="11">
                  <c:v>908072.07476300013</c:v>
                </c:pt>
                <c:pt idx="12">
                  <c:v>238566.04039200002</c:v>
                </c:pt>
                <c:pt idx="13">
                  <c:v>280730.82770000002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2-4EEC-B421-FF999B4A7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227200"/>
        <c:axId val="170676608"/>
      </c:barChart>
      <c:catAx>
        <c:axId val="172227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0676608"/>
        <c:crosses val="autoZero"/>
        <c:auto val="1"/>
        <c:lblAlgn val="ctr"/>
        <c:lblOffset val="100"/>
        <c:noMultiLvlLbl val="0"/>
      </c:catAx>
      <c:valAx>
        <c:axId val="17067660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22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322834645669287"/>
          <c:y val="0.11005524565183827"/>
          <c:w val="0.6265152200802486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'6.8'!$A$7:$A$20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'6.8'!$G$7:$G$20</c:f>
              <c:numCache>
                <c:formatCode>#\ ##0.0</c:formatCode>
                <c:ptCount val="14"/>
                <c:pt idx="0">
                  <c:v>9.4612903225806431</c:v>
                </c:pt>
                <c:pt idx="1">
                  <c:v>10.86774193548387</c:v>
                </c:pt>
                <c:pt idx="2">
                  <c:v>8.8516129032258064</c:v>
                </c:pt>
                <c:pt idx="3">
                  <c:v>9.6580645161290288</c:v>
                </c:pt>
                <c:pt idx="4">
                  <c:v>9.9322580645161302</c:v>
                </c:pt>
                <c:pt idx="5">
                  <c:v>10.016129032258066</c:v>
                </c:pt>
                <c:pt idx="6">
                  <c:v>9.9451612903225826</c:v>
                </c:pt>
                <c:pt idx="7">
                  <c:v>10.164516129032259</c:v>
                </c:pt>
                <c:pt idx="8">
                  <c:v>9.6741935483870964</c:v>
                </c:pt>
                <c:pt idx="9">
                  <c:v>11.512903225806451</c:v>
                </c:pt>
                <c:pt idx="10">
                  <c:v>10.432258064516128</c:v>
                </c:pt>
                <c:pt idx="11">
                  <c:v>9.9580645161290313</c:v>
                </c:pt>
                <c:pt idx="12">
                  <c:v>9.5387096774193552</c:v>
                </c:pt>
                <c:pt idx="13">
                  <c:v>9.8419354838709658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0-40A7-9323-2A912D86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0713088"/>
        <c:axId val="170714624"/>
      </c:barChart>
      <c:catAx>
        <c:axId val="1707130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0714624"/>
        <c:crosses val="autoZero"/>
        <c:auto val="1"/>
        <c:lblAlgn val="ctr"/>
        <c:lblOffset val="100"/>
        <c:noMultiLvlLbl val="0"/>
      </c:catAx>
      <c:valAx>
        <c:axId val="170714624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071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7921641351791E-2"/>
          <c:y val="7.1836716223887848E-2"/>
          <c:w val="0.90558639762917237"/>
          <c:h val="0.603581654229367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'4.1'!$N$28</c:f>
              <c:strCache>
                <c:ptCount val="1"/>
                <c:pt idx="0">
                  <c:v>Průměr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'4.1'!$M$29:$M$40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'4.1'!$N$29:$N$40</c:f>
              <c:numCache>
                <c:formatCode>#\ ##0.0</c:formatCode>
                <c:ptCount val="12"/>
                <c:pt idx="0">
                  <c:v>-0.33870967741935487</c:v>
                </c:pt>
                <c:pt idx="1">
                  <c:v>5.8928571428571415</c:v>
                </c:pt>
                <c:pt idx="2">
                  <c:v>7.2451612903225797</c:v>
                </c:pt>
                <c:pt idx="3">
                  <c:v>10.256666666666664</c:v>
                </c:pt>
                <c:pt idx="4">
                  <c:v>14.761290322580647</c:v>
                </c:pt>
                <c:pt idx="5">
                  <c:v>18.109999999999996</c:v>
                </c:pt>
                <c:pt idx="6">
                  <c:v>20.032258064516132</c:v>
                </c:pt>
                <c:pt idx="7">
                  <c:v>20.416129032258063</c:v>
                </c:pt>
                <c:pt idx="8">
                  <c:v>15.229999999999999</c:v>
                </c:pt>
                <c:pt idx="9">
                  <c:v>9.9064516129032238</c:v>
                </c:pt>
                <c:pt idx="10">
                  <c:v>2.9600000000000004</c:v>
                </c:pt>
                <c:pt idx="11">
                  <c:v>1.0193548387096774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9-4DE4-B41C-175144B27E86}"/>
            </c:ext>
          </c:extLst>
        </c:ser>
        <c:ser>
          <c:idx val="1"/>
          <c:order val="1"/>
          <c:tx>
            <c:strRef>
              <c:f>'4.1'!$O$28</c:f>
              <c:strCache>
                <c:ptCount val="1"/>
                <c:pt idx="0">
                  <c:v>Normál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'4.1'!$M$29:$M$40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'4.1'!$O$29:$O$40</c:f>
              <c:numCache>
                <c:formatCode>#\ ##0.0</c:formatCode>
                <c:ptCount val="12"/>
                <c:pt idx="0">
                  <c:v>-1.2258064516129035</c:v>
                </c:pt>
                <c:pt idx="1">
                  <c:v>-0.15517241379310354</c:v>
                </c:pt>
                <c:pt idx="2">
                  <c:v>3.512903225806451</c:v>
                </c:pt>
                <c:pt idx="3">
                  <c:v>8.6366666666666667</c:v>
                </c:pt>
                <c:pt idx="4">
                  <c:v>13.522580645161288</c:v>
                </c:pt>
                <c:pt idx="5">
                  <c:v>16.59</c:v>
                </c:pt>
                <c:pt idx="6">
                  <c:v>18.522580645161291</c:v>
                </c:pt>
                <c:pt idx="7">
                  <c:v>18.119354838709679</c:v>
                </c:pt>
                <c:pt idx="8">
                  <c:v>13.223333333333333</c:v>
                </c:pt>
                <c:pt idx="9">
                  <c:v>8.3548387096774199</c:v>
                </c:pt>
                <c:pt idx="10">
                  <c:v>3.5466666666666664</c:v>
                </c:pt>
                <c:pt idx="11">
                  <c:v>-0.38387096774193558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9-4DE4-B41C-175144B2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2896512"/>
        <c:axId val="162914688"/>
      </c:barChart>
      <c:catAx>
        <c:axId val="16289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62914688"/>
        <c:crosses val="autoZero"/>
        <c:auto val="1"/>
        <c:lblAlgn val="ctr"/>
        <c:lblOffset val="100"/>
        <c:noMultiLvlLbl val="0"/>
      </c:catAx>
      <c:valAx>
        <c:axId val="162914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289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17552045021956E-3"/>
          <c:y val="0.89591169395866144"/>
          <c:w val="0.22936697982969578"/>
          <c:h val="9.695077050920250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939692883217182"/>
          <c:y val="0.11005524565183827"/>
          <c:w val="0.6303466377047696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'6.9'!$A$7:$A$20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'6.9'!$G$7:$G$20</c:f>
              <c:numCache>
                <c:formatCode>#\ ##0.0</c:formatCode>
                <c:ptCount val="14"/>
                <c:pt idx="0">
                  <c:v>2.7666666666666666</c:v>
                </c:pt>
                <c:pt idx="1">
                  <c:v>3.4466666666666663</c:v>
                </c:pt>
                <c:pt idx="2">
                  <c:v>2.563333333333333</c:v>
                </c:pt>
                <c:pt idx="3">
                  <c:v>2.5966666666666662</c:v>
                </c:pt>
                <c:pt idx="4">
                  <c:v>2.9600000000000004</c:v>
                </c:pt>
                <c:pt idx="5">
                  <c:v>3.1666666666666656</c:v>
                </c:pt>
                <c:pt idx="6">
                  <c:v>2.7766666666666668</c:v>
                </c:pt>
                <c:pt idx="7">
                  <c:v>2.8966666666666669</c:v>
                </c:pt>
                <c:pt idx="8">
                  <c:v>3.296666666666666</c:v>
                </c:pt>
                <c:pt idx="9">
                  <c:v>4.4700000000000015</c:v>
                </c:pt>
                <c:pt idx="10">
                  <c:v>3.4133333333333336</c:v>
                </c:pt>
                <c:pt idx="11">
                  <c:v>3.32</c:v>
                </c:pt>
                <c:pt idx="12">
                  <c:v>2.3366666666666664</c:v>
                </c:pt>
                <c:pt idx="13">
                  <c:v>2.5133333333333332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5-4B34-B926-0E1E11563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1095936"/>
        <c:axId val="171097472"/>
      </c:barChart>
      <c:catAx>
        <c:axId val="171095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1097472"/>
        <c:crosses val="autoZero"/>
        <c:auto val="1"/>
        <c:lblAlgn val="ctr"/>
        <c:lblOffset val="100"/>
        <c:noMultiLvlLbl val="0"/>
      </c:catAx>
      <c:valAx>
        <c:axId val="17109747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109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31812833740611"/>
          <c:y val="0.11005524565183827"/>
          <c:w val="0.56350011107545717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'6.9'!$A$7:$A$20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'6.9'!$D$7:$D$20</c:f>
              <c:numCache>
                <c:formatCode>#,##0</c:formatCode>
                <c:ptCount val="14"/>
                <c:pt idx="0">
                  <c:v>315913.47386600001</c:v>
                </c:pt>
                <c:pt idx="1">
                  <c:v>1209548.1981200001</c:v>
                </c:pt>
                <c:pt idx="2">
                  <c:v>287791.39126999996</c:v>
                </c:pt>
                <c:pt idx="3">
                  <c:v>386005.96612</c:v>
                </c:pt>
                <c:pt idx="4">
                  <c:v>363579.79622000002</c:v>
                </c:pt>
                <c:pt idx="5">
                  <c:v>931847.07067000004</c:v>
                </c:pt>
                <c:pt idx="6">
                  <c:v>553836.00378999999</c:v>
                </c:pt>
                <c:pt idx="7">
                  <c:v>394207.99216999992</c:v>
                </c:pt>
                <c:pt idx="8">
                  <c:v>409925.38584999996</c:v>
                </c:pt>
                <c:pt idx="9">
                  <c:v>1027355.211855026</c:v>
                </c:pt>
                <c:pt idx="10">
                  <c:v>1190683.587813</c:v>
                </c:pt>
                <c:pt idx="11">
                  <c:v>1460458.5859010003</c:v>
                </c:pt>
                <c:pt idx="12">
                  <c:v>360572.90745200001</c:v>
                </c:pt>
                <c:pt idx="13">
                  <c:v>445585.49093999999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E-4CC5-9E50-618C204A2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063744"/>
        <c:axId val="172073728"/>
      </c:barChart>
      <c:catAx>
        <c:axId val="1720637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2073728"/>
        <c:crosses val="autoZero"/>
        <c:auto val="1"/>
        <c:lblAlgn val="ctr"/>
        <c:lblOffset val="100"/>
        <c:noMultiLvlLbl val="0"/>
      </c:catAx>
      <c:valAx>
        <c:axId val="17207372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063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173409358312972"/>
          <c:y val="0.11005524565183827"/>
          <c:w val="0.63800947295381183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'6.10'!$A$7:$A$20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'6.10'!$G$7:$G$20</c:f>
              <c:numCache>
                <c:formatCode>#\ ##0.0</c:formatCode>
                <c:ptCount val="14"/>
                <c:pt idx="0">
                  <c:v>0.72258064516129028</c:v>
                </c:pt>
                <c:pt idx="1">
                  <c:v>1.3935483870967742</c:v>
                </c:pt>
                <c:pt idx="2">
                  <c:v>0.12258064516129037</c:v>
                </c:pt>
                <c:pt idx="3">
                  <c:v>0.61935483870967767</c:v>
                </c:pt>
                <c:pt idx="4">
                  <c:v>1.1645161290322581</c:v>
                </c:pt>
                <c:pt idx="5">
                  <c:v>1.3516129032258064</c:v>
                </c:pt>
                <c:pt idx="6">
                  <c:v>1.064516129032258</c:v>
                </c:pt>
                <c:pt idx="7">
                  <c:v>0.82258064516128993</c:v>
                </c:pt>
                <c:pt idx="8">
                  <c:v>1.0806451612903227</c:v>
                </c:pt>
                <c:pt idx="9">
                  <c:v>2.4548387096774191</c:v>
                </c:pt>
                <c:pt idx="10">
                  <c:v>1.6</c:v>
                </c:pt>
                <c:pt idx="11">
                  <c:v>1.338709677419355</c:v>
                </c:pt>
                <c:pt idx="12">
                  <c:v>0.50000000000000011</c:v>
                </c:pt>
                <c:pt idx="13">
                  <c:v>0.60322580645161283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E-462E-8233-50B07F49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844160"/>
        <c:axId val="172845696"/>
      </c:barChart>
      <c:catAx>
        <c:axId val="1728441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2845696"/>
        <c:crosses val="autoZero"/>
        <c:auto val="1"/>
        <c:lblAlgn val="ctr"/>
        <c:lblOffset val="100"/>
        <c:noMultiLvlLbl val="0"/>
      </c:catAx>
      <c:valAx>
        <c:axId val="172845696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844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203704160804351"/>
          <c:y val="0.11005524565183827"/>
          <c:w val="0.5467811978048198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'6.10'!$A$7:$A$20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'6.10'!$D$7:$D$20</c:f>
              <c:numCache>
                <c:formatCode>#,##0</c:formatCode>
                <c:ptCount val="14"/>
                <c:pt idx="0">
                  <c:v>349013.35366600007</c:v>
                </c:pt>
                <c:pt idx="1">
                  <c:v>1416163.9508399998</c:v>
                </c:pt>
                <c:pt idx="2">
                  <c:v>313830.27464999998</c:v>
                </c:pt>
                <c:pt idx="3">
                  <c:v>425437.22959999996</c:v>
                </c:pt>
                <c:pt idx="4">
                  <c:v>410620.32564999996</c:v>
                </c:pt>
                <c:pt idx="5">
                  <c:v>1063172.44542</c:v>
                </c:pt>
                <c:pt idx="6">
                  <c:v>641201.75692999992</c:v>
                </c:pt>
                <c:pt idx="7">
                  <c:v>438351.14323999995</c:v>
                </c:pt>
                <c:pt idx="8">
                  <c:v>467018.23431000003</c:v>
                </c:pt>
                <c:pt idx="9">
                  <c:v>1212320.2077539151</c:v>
                </c:pt>
                <c:pt idx="10">
                  <c:v>1269634.340197</c:v>
                </c:pt>
                <c:pt idx="11">
                  <c:v>1181198.708623</c:v>
                </c:pt>
                <c:pt idx="12">
                  <c:v>413262.71919799998</c:v>
                </c:pt>
                <c:pt idx="13">
                  <c:v>529632.26331999991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7-4977-85F1-65792FC6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878080"/>
        <c:axId val="172883968"/>
      </c:barChart>
      <c:catAx>
        <c:axId val="1728780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2883968"/>
        <c:crosses val="autoZero"/>
        <c:auto val="1"/>
        <c:lblAlgn val="ctr"/>
        <c:lblOffset val="100"/>
        <c:noMultiLvlLbl val="0"/>
      </c:catAx>
      <c:valAx>
        <c:axId val="17288396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2878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56551120765077"/>
          <c:y val="0.11005524565183827"/>
          <c:w val="0.63417805532929072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196B0"/>
            </a:solidFill>
          </c:spPr>
          <c:invertIfNegative val="0"/>
          <c:cat>
            <c:strRef>
              <c:f>'6.11'!$A$7:$A$20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'6.11'!$G$7:$G$20</c:f>
              <c:numCache>
                <c:formatCode>#\ ##0.0</c:formatCode>
                <c:ptCount val="14"/>
                <c:pt idx="0">
                  <c:v>4.3168458781362</c:v>
                </c:pt>
                <c:pt idx="1">
                  <c:v>5.2359856630824373</c:v>
                </c:pt>
                <c:pt idx="2">
                  <c:v>3.8458422939068098</c:v>
                </c:pt>
                <c:pt idx="3">
                  <c:v>4.2913620071684573</c:v>
                </c:pt>
                <c:pt idx="4">
                  <c:v>4.6855913978494632</c:v>
                </c:pt>
                <c:pt idx="5">
                  <c:v>4.8448028673835131</c:v>
                </c:pt>
                <c:pt idx="6">
                  <c:v>4.5954480286738359</c:v>
                </c:pt>
                <c:pt idx="7">
                  <c:v>4.6279211469534056</c:v>
                </c:pt>
                <c:pt idx="8">
                  <c:v>4.6838351254480282</c:v>
                </c:pt>
                <c:pt idx="9">
                  <c:v>6.1459139784946233</c:v>
                </c:pt>
                <c:pt idx="10">
                  <c:v>5.148530465949821</c:v>
                </c:pt>
                <c:pt idx="11">
                  <c:v>4.8722580645161289</c:v>
                </c:pt>
                <c:pt idx="12">
                  <c:v>4.1251254480286734</c:v>
                </c:pt>
                <c:pt idx="13">
                  <c:v>4.3194982078853039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2-4560-AB96-B0A89B337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3023616"/>
        <c:axId val="173025152"/>
      </c:barChart>
      <c:catAx>
        <c:axId val="173023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73025152"/>
        <c:crosses val="autoZero"/>
        <c:auto val="1"/>
        <c:lblAlgn val="ctr"/>
        <c:lblOffset val="100"/>
        <c:noMultiLvlLbl val="0"/>
      </c:catAx>
      <c:valAx>
        <c:axId val="173025152"/>
        <c:scaling>
          <c:orientation val="minMax"/>
        </c:scaling>
        <c:delete val="0"/>
        <c:axPos val="t"/>
        <c:majorGridlines/>
        <c:numFmt formatCode="#\ ##0.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3023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9649824336218"/>
          <c:y val="0.11005524565183827"/>
          <c:w val="0.5384217411695011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cat>
            <c:strRef>
              <c:f>'6.11'!$A$7:$A$20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'6.11'!$D$7:$D$20</c:f>
              <c:numCache>
                <c:formatCode>#,##0</c:formatCode>
                <c:ptCount val="14"/>
                <c:pt idx="0">
                  <c:v>875119.81619300006</c:v>
                </c:pt>
                <c:pt idx="1">
                  <c:v>3410933.3431899999</c:v>
                </c:pt>
                <c:pt idx="2">
                  <c:v>776421.59002</c:v>
                </c:pt>
                <c:pt idx="3">
                  <c:v>1060494.8806700001</c:v>
                </c:pt>
                <c:pt idx="4">
                  <c:v>997323.45602000004</c:v>
                </c:pt>
                <c:pt idx="5">
                  <c:v>2621955.5960599999</c:v>
                </c:pt>
                <c:pt idx="6">
                  <c:v>1541406.5038400001</c:v>
                </c:pt>
                <c:pt idx="7">
                  <c:v>1086023.8945600002</c:v>
                </c:pt>
                <c:pt idx="8">
                  <c:v>1155662.2298800002</c:v>
                </c:pt>
                <c:pt idx="9">
                  <c:v>2812366.0179328644</c:v>
                </c:pt>
                <c:pt idx="10">
                  <c:v>3334443.9358469998</c:v>
                </c:pt>
                <c:pt idx="11">
                  <c:v>3549729.3692869996</c:v>
                </c:pt>
                <c:pt idx="12">
                  <c:v>1012401.667042</c:v>
                </c:pt>
                <c:pt idx="13">
                  <c:v>1255948.5819600001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3BC-A034-258FBD2F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3049344"/>
        <c:axId val="173050880"/>
      </c:barChart>
      <c:catAx>
        <c:axId val="1730493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3050880"/>
        <c:crosses val="autoZero"/>
        <c:auto val="1"/>
        <c:lblAlgn val="ctr"/>
        <c:lblOffset val="100"/>
        <c:noMultiLvlLbl val="0"/>
      </c:catAx>
      <c:valAx>
        <c:axId val="173050880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/>
            </a:pPr>
            <a:endParaRPr lang="cs-CZ"/>
          </a:p>
        </c:txPr>
        <c:crossAx val="173049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50597841936423"/>
          <c:y val="0.34057376401069023"/>
          <c:w val="0.61308307391808592"/>
          <c:h val="0.657275168391248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0-70FC-43A5-9DF9-089D08C1FA91}"/>
              </c:ext>
            </c:extLst>
          </c:dPt>
          <c:dPt>
            <c:idx val="1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1-70FC-43A5-9DF9-089D08C1FA91}"/>
              </c:ext>
            </c:extLst>
          </c:dPt>
          <c:dPt>
            <c:idx val="2"/>
            <c:bubble3D val="0"/>
            <c:spPr>
              <a:solidFill>
                <a:srgbClr val="9196B0"/>
              </a:solidFill>
            </c:spPr>
            <c:extLst>
              <c:ext xmlns:c16="http://schemas.microsoft.com/office/drawing/2014/chart" uri="{C3380CC4-5D6E-409C-BE32-E72D297353CC}">
                <c16:uniqueId val="{00000002-70FC-43A5-9DF9-089D08C1FA91}"/>
              </c:ext>
            </c:extLst>
          </c:dPt>
          <c:dPt>
            <c:idx val="3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3-70FC-43A5-9DF9-089D08C1FA91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70FC-43A5-9DF9-089D08C1FA91}"/>
              </c:ext>
            </c:extLst>
          </c:dPt>
          <c:dLbls>
            <c:dLbl>
              <c:idx val="0"/>
              <c:layout>
                <c:manualLayout>
                  <c:x val="-8.8139796478928542E-2"/>
                  <c:y val="-0.2535577118912101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C-43A5-9DF9-089D08C1FA91}"/>
                </c:ext>
              </c:extLst>
            </c:dLbl>
            <c:dLbl>
              <c:idx val="1"/>
              <c:layout>
                <c:manualLayout>
                  <c:x val="0.1289835282217629"/>
                  <c:y val="-0.2599312629519803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C-43A5-9DF9-089D08C1FA91}"/>
                </c:ext>
              </c:extLst>
            </c:dLbl>
            <c:dLbl>
              <c:idx val="2"/>
              <c:layout>
                <c:manualLayout>
                  <c:x val="0.2751346779327003"/>
                  <c:y val="-0.1976685005637177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C-43A5-9DF9-089D08C1FA91}"/>
                </c:ext>
              </c:extLst>
            </c:dLbl>
            <c:dLbl>
              <c:idx val="3"/>
              <c:layout>
                <c:manualLayout>
                  <c:x val="-0.32260234912496405"/>
                  <c:y val="1.72374885683857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C-43A5-9DF9-089D08C1FA91}"/>
                </c:ext>
              </c:extLst>
            </c:dLbl>
            <c:dLbl>
              <c:idx val="4"/>
              <c:layout>
                <c:manualLayout>
                  <c:x val="-0.28336341678220456"/>
                  <c:y val="-0.2107996257424775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C-43A5-9DF9-089D08C1FA9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'4.2'!$B$27:$F$27</c:f>
              <c:strCache>
                <c:ptCount val="5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  <c:pt idx="4">
                  <c:v>CNG</c:v>
                </c:pt>
              </c:strCache>
            </c:strRef>
          </c:cat>
          <c:val>
            <c:numRef>
              <c:f>'4.2'!$B$28:$F$28</c:f>
              <c:numCache>
                <c:formatCode>#,##0</c:formatCode>
                <c:ptCount val="5"/>
                <c:pt idx="0">
                  <c:v>1541</c:v>
                </c:pt>
                <c:pt idx="1">
                  <c:v>6018</c:v>
                </c:pt>
                <c:pt idx="2">
                  <c:v>201951</c:v>
                </c:pt>
                <c:pt idx="3">
                  <c:v>2534993</c:v>
                </c:pt>
                <c:pt idx="4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C-43A5-9DF9-089D08C1FA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45190722219767"/>
          <c:y val="9.5236845394881697E-2"/>
          <c:w val="0.65942831101096278"/>
          <c:h val="0.7135216792758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'4.2'!$I$27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'4.2'!$I$28:$I$31</c:f>
              <c:numCache>
                <c:formatCode>#\ ##0.0</c:formatCode>
                <c:ptCount val="4"/>
                <c:pt idx="0">
                  <c:v>951.07421787183603</c:v>
                </c:pt>
                <c:pt idx="1">
                  <c:v>671.44825431664106</c:v>
                </c:pt>
                <c:pt idx="2">
                  <c:v>636.29126910041896</c:v>
                </c:pt>
                <c:pt idx="3">
                  <c:v>1002.6069382567669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2-4100-9F69-CC81FEE75CF4}"/>
            </c:ext>
          </c:extLst>
        </c:ser>
        <c:ser>
          <c:idx val="1"/>
          <c:order val="1"/>
          <c:tx>
            <c:strRef>
              <c:f>'4.2'!$J$27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'4.2'!$J$28:$J$31</c:f>
              <c:numCache>
                <c:formatCode>#\ ##0.0</c:formatCode>
                <c:ptCount val="4"/>
                <c:pt idx="0">
                  <c:v>240.06593152983899</c:v>
                </c:pt>
                <c:pt idx="1">
                  <c:v>96.302590061765997</c:v>
                </c:pt>
                <c:pt idx="2">
                  <c:v>71.371728606331999</c:v>
                </c:pt>
                <c:pt idx="3">
                  <c:v>225.83087722127698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2-4100-9F69-CC81FEE75CF4}"/>
            </c:ext>
          </c:extLst>
        </c:ser>
        <c:ser>
          <c:idx val="2"/>
          <c:order val="2"/>
          <c:tx>
            <c:strRef>
              <c:f>'4.2'!$K$27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'4.2'!$K$28:$K$31</c:f>
              <c:numCache>
                <c:formatCode>#\ ##0.0</c:formatCode>
                <c:ptCount val="4"/>
                <c:pt idx="0">
                  <c:v>415.43426502247405</c:v>
                </c:pt>
                <c:pt idx="1">
                  <c:v>107.62911349826699</c:v>
                </c:pt>
                <c:pt idx="2">
                  <c:v>56.861191979483998</c:v>
                </c:pt>
                <c:pt idx="3">
                  <c:v>391.12524098580406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42-4100-9F69-CC81FEE75CF4}"/>
            </c:ext>
          </c:extLst>
        </c:ser>
        <c:ser>
          <c:idx val="3"/>
          <c:order val="3"/>
          <c:tx>
            <c:strRef>
              <c:f>'4.2'!$L$27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'4.2'!$L$28:$L$31</c:f>
              <c:numCache>
                <c:formatCode>#\ ##0.0</c:formatCode>
                <c:ptCount val="4"/>
                <c:pt idx="0">
                  <c:v>746.19069889336299</c:v>
                </c:pt>
                <c:pt idx="1">
                  <c:v>190.74841926052798</c:v>
                </c:pt>
                <c:pt idx="2">
                  <c:v>101.70318040744201</c:v>
                </c:pt>
                <c:pt idx="3">
                  <c:v>692.83711519253995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42-4100-9F69-CC81FEE75CF4}"/>
            </c:ext>
          </c:extLst>
        </c:ser>
        <c:ser>
          <c:idx val="4"/>
          <c:order val="4"/>
          <c:tx>
            <c:strRef>
              <c:f>'4.2'!$M$27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'4.2'!$H$28:$H$31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'4.2'!$M$28:$M$31</c:f>
              <c:numCache>
                <c:formatCode>#\ ##0.0</c:formatCode>
                <c:ptCount val="4"/>
                <c:pt idx="0">
                  <c:v>22.776600120695001</c:v>
                </c:pt>
                <c:pt idx="1">
                  <c:v>22.913182116827997</c:v>
                </c:pt>
                <c:pt idx="2">
                  <c:v>23.021646168844001</c:v>
                </c:pt>
                <c:pt idx="3">
                  <c:v>23.564513736893002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42-4100-9F69-CC81FEE75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34688"/>
        <c:axId val="164436224"/>
      </c:barChart>
      <c:catAx>
        <c:axId val="1644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4436224"/>
        <c:crosses val="autoZero"/>
        <c:auto val="1"/>
        <c:lblAlgn val="ctr"/>
        <c:lblOffset val="100"/>
        <c:noMultiLvlLbl val="0"/>
      </c:catAx>
      <c:valAx>
        <c:axId val="1644362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443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641202302644729E-2"/>
          <c:y val="0.91431116564974846"/>
          <c:w val="0.54397829038354595"/>
          <c:h val="8.225615331993074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010042956849044"/>
          <c:y val="0.10011387326027958"/>
          <c:w val="0.63799208378695416"/>
          <c:h val="0.71352167927585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'4.2'!$P$27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'4.2'!$P$28:$P$31</c:f>
              <c:numCache>
                <c:formatCode>#,##0</c:formatCode>
                <c:ptCount val="4"/>
                <c:pt idx="0">
                  <c:v>10357.751521942</c:v>
                </c:pt>
                <c:pt idx="1">
                  <c:v>7330.6690559379995</c:v>
                </c:pt>
                <c:pt idx="2">
                  <c:v>6954.3865291920001</c:v>
                </c:pt>
                <c:pt idx="3">
                  <c:v>10943.681937551999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0B6-A393-E9E5BEC020C3}"/>
            </c:ext>
          </c:extLst>
        </c:ser>
        <c:ser>
          <c:idx val="1"/>
          <c:order val="1"/>
          <c:tx>
            <c:strRef>
              <c:f>'4.2'!$Q$27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'4.2'!$Q$28:$Q$31</c:f>
              <c:numCache>
                <c:formatCode>#,##0</c:formatCode>
                <c:ptCount val="4"/>
                <c:pt idx="0">
                  <c:v>2614.6421453799999</c:v>
                </c:pt>
                <c:pt idx="1">
                  <c:v>1051.288580011</c:v>
                </c:pt>
                <c:pt idx="2">
                  <c:v>780.03041879099987</c:v>
                </c:pt>
                <c:pt idx="3">
                  <c:v>2464.3259274009997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0B6-A393-E9E5BEC020C3}"/>
            </c:ext>
          </c:extLst>
        </c:ser>
        <c:ser>
          <c:idx val="2"/>
          <c:order val="2"/>
          <c:tx>
            <c:strRef>
              <c:f>'4.2'!$R$27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'4.2'!$R$28:$R$31</c:f>
              <c:numCache>
                <c:formatCode>#,##0</c:formatCode>
                <c:ptCount val="4"/>
                <c:pt idx="0">
                  <c:v>4524.2474998255457</c:v>
                </c:pt>
                <c:pt idx="1">
                  <c:v>1174.2626675893059</c:v>
                </c:pt>
                <c:pt idx="2">
                  <c:v>621.49335871031099</c:v>
                </c:pt>
                <c:pt idx="3">
                  <c:v>4266.8568353856181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F0-40B6-A393-E9E5BEC020C3}"/>
            </c:ext>
          </c:extLst>
        </c:ser>
        <c:ser>
          <c:idx val="3"/>
          <c:order val="3"/>
          <c:tx>
            <c:strRef>
              <c:f>'4.2'!$S$27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'4.2'!$S$28:$S$31</c:f>
              <c:numCache>
                <c:formatCode>#,##0</c:formatCode>
                <c:ptCount val="4"/>
                <c:pt idx="0">
                  <c:v>8126.0936473153852</c:v>
                </c:pt>
                <c:pt idx="1">
                  <c:v>2080.813381185686</c:v>
                </c:pt>
                <c:pt idx="2">
                  <c:v>1111.7579950447102</c:v>
                </c:pt>
                <c:pt idx="3">
                  <c:v>7558.1750396882462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0-40B6-A393-E9E5BEC020C3}"/>
            </c:ext>
          </c:extLst>
        </c:ser>
        <c:ser>
          <c:idx val="4"/>
          <c:order val="4"/>
          <c:tx>
            <c:strRef>
              <c:f>'4.2'!$T$27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'4.2'!$O$28:$O$31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'4.2'!$T$28:$T$31</c:f>
              <c:numCache>
                <c:formatCode>#,##0</c:formatCode>
                <c:ptCount val="4"/>
                <c:pt idx="0">
                  <c:v>247.93894812999997</c:v>
                </c:pt>
                <c:pt idx="1">
                  <c:v>250.18591451</c:v>
                </c:pt>
                <c:pt idx="2">
                  <c:v>251.50220961299999</c:v>
                </c:pt>
                <c:pt idx="3">
                  <c:v>257.19114247499999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F0-40B6-A393-E9E5BEC0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486144"/>
        <c:axId val="165020416"/>
      </c:barChart>
      <c:catAx>
        <c:axId val="16448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020416"/>
        <c:crosses val="autoZero"/>
        <c:auto val="1"/>
        <c:lblAlgn val="ctr"/>
        <c:lblOffset val="100"/>
        <c:noMultiLvlLbl val="0"/>
      </c:catAx>
      <c:valAx>
        <c:axId val="16502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448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6353287164405642E-3"/>
          <c:y val="0.92082355031032004"/>
          <c:w val="0.51630586449379434"/>
          <c:h val="7.91764143205569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D1D-4598-9BC4-D57E6B9EFFF2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1D1D-4598-9BC4-D57E6B9EFFF2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1D1D-4598-9BC4-D57E6B9EFF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'4.3'!$B$45:$B$47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'4.3'!$C$45:$C$47</c:f>
              <c:numCache>
                <c:formatCode>#,##0</c:formatCode>
                <c:ptCount val="3"/>
                <c:pt idx="0">
                  <c:v>20814.605579913416</c:v>
                </c:pt>
                <c:pt idx="1">
                  <c:v>15064.493233404173</c:v>
                </c:pt>
                <c:pt idx="2">
                  <c:v>17909.084685881924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1D-4598-9BC4-D57E6B9EF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047680"/>
        <c:axId val="165057664"/>
      </c:barChart>
      <c:catAx>
        <c:axId val="16504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5057664"/>
        <c:crosses val="autoZero"/>
        <c:auto val="1"/>
        <c:lblAlgn val="ctr"/>
        <c:lblOffset val="100"/>
        <c:noMultiLvlLbl val="0"/>
      </c:catAx>
      <c:valAx>
        <c:axId val="165057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04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79549562292739"/>
          <c:y val="2.6491391965834776E-2"/>
          <c:w val="0.55638015307966748"/>
          <c:h val="0.71663028963484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47-48DA-85A8-0139621EAEAC}"/>
              </c:ext>
            </c:extLst>
          </c:dPt>
          <c:dPt>
            <c:idx val="1"/>
            <c:invertIfNegative val="0"/>
            <c:bubble3D val="0"/>
            <c:spPr>
              <a:solidFill>
                <a:srgbClr val="596387"/>
              </a:solidFill>
            </c:spPr>
            <c:extLst>
              <c:ext xmlns:c16="http://schemas.microsoft.com/office/drawing/2014/chart" uri="{C3380CC4-5D6E-409C-BE32-E72D297353CC}">
                <c16:uniqueId val="{00000002-C447-48DA-85A8-0139621EAEAC}"/>
              </c:ext>
            </c:extLst>
          </c:dPt>
          <c:dPt>
            <c:idx val="2"/>
            <c:invertIfNegative val="0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4-C447-48DA-85A8-0139621EAE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'4.3'!$E$45:$E$47</c:f>
              <c:strCache>
                <c:ptCount val="3"/>
                <c:pt idx="0">
                  <c:v>Max</c:v>
                </c:pt>
                <c:pt idx="1">
                  <c:v>Min</c:v>
                </c:pt>
                <c:pt idx="2">
                  <c:v>Průměr</c:v>
                </c:pt>
              </c:strCache>
            </c:strRef>
          </c:cat>
          <c:val>
            <c:numRef>
              <c:f>'4.3'!$F$45:$F$47</c:f>
              <c:numCache>
                <c:formatCode>#,##0</c:formatCode>
                <c:ptCount val="3"/>
                <c:pt idx="0">
                  <c:v>34826.663885530506</c:v>
                </c:pt>
                <c:pt idx="1">
                  <c:v>18508.679099057139</c:v>
                </c:pt>
                <c:pt idx="2">
                  <c:v>28849.248424393983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47-48DA-85A8-0139621EA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088256"/>
        <c:axId val="165090048"/>
      </c:barChart>
      <c:catAx>
        <c:axId val="1650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5090048"/>
        <c:crosses val="autoZero"/>
        <c:auto val="1"/>
        <c:lblAlgn val="ctr"/>
        <c:lblOffset val="100"/>
        <c:noMultiLvlLbl val="0"/>
      </c:catAx>
      <c:valAx>
        <c:axId val="1650900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65088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11.png"/><Relationship Id="rId4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11.png"/><Relationship Id="rId4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11.png"/><Relationship Id="rId4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11.png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F1AA8B5-5249-445C-8B4E-732F9012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4977583</xdr:rowOff>
    </xdr:from>
    <xdr:to>
      <xdr:col>2</xdr:col>
      <xdr:colOff>985</xdr:colOff>
      <xdr:row>1</xdr:row>
      <xdr:rowOff>4633682</xdr:rowOff>
    </xdr:to>
    <xdr:pic>
      <xdr:nvPicPr>
        <xdr:cNvPr id="3" name="Grafický objekt 14">
          <a:extLst>
            <a:ext uri="{FF2B5EF4-FFF2-40B4-BE49-F238E27FC236}">
              <a16:creationId xmlns:a16="http://schemas.microsoft.com/office/drawing/2014/main" id="{5A5B4A11-A448-40A2-8020-A1DA7E18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4977583"/>
          <a:ext cx="6430360" cy="4736099"/>
        </a:xfrm>
        <a:prstGeom prst="rect">
          <a:avLst/>
        </a:prstGeom>
      </xdr:spPr>
    </xdr:pic>
    <xdr:clientData/>
  </xdr:twoCellAnchor>
  <xdr:twoCellAnchor editAs="oneCell">
    <xdr:from>
      <xdr:col>1</xdr:col>
      <xdr:colOff>1569938</xdr:colOff>
      <xdr:row>1</xdr:row>
      <xdr:rowOff>3582605</xdr:rowOff>
    </xdr:from>
    <xdr:to>
      <xdr:col>2</xdr:col>
      <xdr:colOff>47128</xdr:colOff>
      <xdr:row>2</xdr:row>
      <xdr:rowOff>46623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58758D7-D9AE-4D28-8E13-F184DBD0F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063" y="8662605"/>
          <a:ext cx="2001440" cy="12900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37</xdr:row>
      <xdr:rowOff>47625</xdr:rowOff>
    </xdr:from>
    <xdr:to>
      <xdr:col>6</xdr:col>
      <xdr:colOff>295275</xdr:colOff>
      <xdr:row>52</xdr:row>
      <xdr:rowOff>120650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52</xdr:row>
      <xdr:rowOff>165100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323850</xdr:colOff>
      <xdr:row>2</xdr:row>
      <xdr:rowOff>123825</xdr:rowOff>
    </xdr:from>
    <xdr:to>
      <xdr:col>2</xdr:col>
      <xdr:colOff>294586</xdr:colOff>
      <xdr:row>3</xdr:row>
      <xdr:rowOff>561975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9B2BDA4-8585-4555-B95B-A95B4D89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" y="428625"/>
          <a:ext cx="856561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37</xdr:row>
      <xdr:rowOff>47625</xdr:rowOff>
    </xdr:from>
    <xdr:to>
      <xdr:col>6</xdr:col>
      <xdr:colOff>295275</xdr:colOff>
      <xdr:row>50</xdr:row>
      <xdr:rowOff>146050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50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304800</xdr:colOff>
      <xdr:row>2</xdr:row>
      <xdr:rowOff>123825</xdr:rowOff>
    </xdr:from>
    <xdr:to>
      <xdr:col>2</xdr:col>
      <xdr:colOff>304800</xdr:colOff>
      <xdr:row>3</xdr:row>
      <xdr:rowOff>583568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FF69A7B-4C4B-40B4-A090-21957D007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4800" y="428625"/>
          <a:ext cx="885825" cy="65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28575</xdr:rowOff>
    </xdr:from>
    <xdr:to>
      <xdr:col>10</xdr:col>
      <xdr:colOff>419100</xdr:colOff>
      <xdr:row>29</xdr:row>
      <xdr:rowOff>38100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85725</xdr:rowOff>
    </xdr:from>
    <xdr:to>
      <xdr:col>10</xdr:col>
      <xdr:colOff>371474</xdr:colOff>
      <xdr:row>46</xdr:row>
      <xdr:rowOff>161923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15" name="Obdélník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142875</xdr:colOff>
      <xdr:row>34</xdr:row>
      <xdr:rowOff>38100</xdr:rowOff>
    </xdr:from>
    <xdr:to>
      <xdr:col>4</xdr:col>
      <xdr:colOff>57152</xdr:colOff>
      <xdr:row>48</xdr:row>
      <xdr:rowOff>152399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3C6EE1F-F5AD-439E-A9F4-0D56D81FE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</xdr:row>
      <xdr:rowOff>219074</xdr:rowOff>
    </xdr:from>
    <xdr:to>
      <xdr:col>0</xdr:col>
      <xdr:colOff>907958</xdr:colOff>
      <xdr:row>5</xdr:row>
      <xdr:rowOff>45719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8D57470-C8CE-41B0-9D13-6A6BBB73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4"/>
          <a:ext cx="907958" cy="6648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19050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85725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57150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54E4C39C-1419-4BF3-9A5D-2F95D4698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</xdr:row>
      <xdr:rowOff>219074</xdr:rowOff>
    </xdr:from>
    <xdr:to>
      <xdr:col>0</xdr:col>
      <xdr:colOff>907958</xdr:colOff>
      <xdr:row>5</xdr:row>
      <xdr:rowOff>45719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629D853-21F0-440B-8467-D525E11B1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4"/>
          <a:ext cx="907958" cy="6648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9526</xdr:rowOff>
    </xdr:from>
    <xdr:to>
      <xdr:col>5</xdr:col>
      <xdr:colOff>114300</xdr:colOff>
      <xdr:row>29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19050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66675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47625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A187F95E-7825-4088-BE83-BA9904BB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</xdr:row>
      <xdr:rowOff>219074</xdr:rowOff>
    </xdr:from>
    <xdr:to>
      <xdr:col>0</xdr:col>
      <xdr:colOff>907958</xdr:colOff>
      <xdr:row>5</xdr:row>
      <xdr:rowOff>45719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E71C72E-6C87-4172-9D38-6702F73C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4"/>
          <a:ext cx="907958" cy="6648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17</xdr:row>
      <xdr:rowOff>0</xdr:rowOff>
    </xdr:from>
    <xdr:to>
      <xdr:col>5</xdr:col>
      <xdr:colOff>114300</xdr:colOff>
      <xdr:row>29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190499</xdr:colOff>
      <xdr:row>17</xdr:row>
      <xdr:rowOff>38100</xdr:rowOff>
    </xdr:from>
    <xdr:to>
      <xdr:col>10</xdr:col>
      <xdr:colOff>419100</xdr:colOff>
      <xdr:row>29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133349</xdr:colOff>
      <xdr:row>34</xdr:row>
      <xdr:rowOff>66675</xdr:rowOff>
    </xdr:from>
    <xdr:to>
      <xdr:col>10</xdr:col>
      <xdr:colOff>371474</xdr:colOff>
      <xdr:row>46</xdr:row>
      <xdr:rowOff>161923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47626</xdr:colOff>
      <xdr:row>47</xdr:row>
      <xdr:rowOff>142876</xdr:rowOff>
    </xdr:from>
    <xdr:to>
      <xdr:col>9</xdr:col>
      <xdr:colOff>202426</xdr:colOff>
      <xdr:row>48</xdr:row>
      <xdr:rowOff>142876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4953001" y="9363076"/>
          <a:ext cx="612000" cy="190500"/>
        </a:xfrm>
        <a:prstGeom prst="rect">
          <a:avLst/>
        </a:prstGeom>
        <a:solidFill>
          <a:srgbClr val="233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Maximum</a:t>
          </a:r>
        </a:p>
      </xdr:txBody>
    </xdr:sp>
    <xdr:clientData/>
  </xdr:twoCellAnchor>
  <xdr:twoCellAnchor>
    <xdr:from>
      <xdr:col>6</xdr:col>
      <xdr:colOff>295276</xdr:colOff>
      <xdr:row>47</xdr:row>
      <xdr:rowOff>142876</xdr:rowOff>
    </xdr:from>
    <xdr:to>
      <xdr:col>7</xdr:col>
      <xdr:colOff>450076</xdr:colOff>
      <xdr:row>48</xdr:row>
      <xdr:rowOff>142876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4286251" y="9363076"/>
          <a:ext cx="612000" cy="190500"/>
        </a:xfrm>
        <a:prstGeom prst="rect">
          <a:avLst/>
        </a:prstGeom>
        <a:solidFill>
          <a:srgbClr val="C7CC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Minimum</a:t>
          </a:r>
        </a:p>
      </xdr:txBody>
    </xdr:sp>
    <xdr:clientData/>
  </xdr:twoCellAnchor>
  <xdr:twoCellAnchor>
    <xdr:from>
      <xdr:col>0</xdr:col>
      <xdr:colOff>247650</xdr:colOff>
      <xdr:row>34</xdr:row>
      <xdr:rowOff>38100</xdr:rowOff>
    </xdr:from>
    <xdr:to>
      <xdr:col>4</xdr:col>
      <xdr:colOff>57152</xdr:colOff>
      <xdr:row>48</xdr:row>
      <xdr:rowOff>85725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E2988C38-2859-4FF3-BE55-8F0FFC05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2</xdr:row>
      <xdr:rowOff>219074</xdr:rowOff>
    </xdr:from>
    <xdr:ext cx="907958" cy="664845"/>
    <xdr:pic>
      <xdr:nvPicPr>
        <xdr:cNvPr id="9" name="Obrázek 8">
          <a:extLst>
            <a:ext uri="{FF2B5EF4-FFF2-40B4-BE49-F238E27FC236}">
              <a16:creationId xmlns:a16="http://schemas.microsoft.com/office/drawing/2014/main" id="{128EAC60-D702-4C8D-9840-8CEF24BEB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4"/>
          <a:ext cx="907958" cy="66484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25</xdr:row>
      <xdr:rowOff>142875</xdr:rowOff>
    </xdr:from>
    <xdr:to>
      <xdr:col>10</xdr:col>
      <xdr:colOff>514350</xdr:colOff>
      <xdr:row>51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DD8DFCA-E82F-41D8-A381-19E5A72BA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07F0B3E-169F-4537-9F96-F049448E9B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35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06C6586-9FAF-4817-8031-B05116C8F8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B673EDCB-75E3-4F3B-BB02-5BA3B0C555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0B09FD-1449-4C7A-B229-FE5161C0E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EE987EE-9B6D-4116-94DD-D57C37C43C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3</xdr:row>
      <xdr:rowOff>0</xdr:rowOff>
    </xdr:from>
    <xdr:to>
      <xdr:col>2</xdr:col>
      <xdr:colOff>562645</xdr:colOff>
      <xdr:row>4</xdr:row>
      <xdr:rowOff>224567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A8F6B51-CF59-4EAA-97E8-5C6B3469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0" y="561975"/>
          <a:ext cx="629320" cy="472217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2F6A0A5-6A79-40E3-8C88-7D3D2D3B3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54878A7-DCE0-436D-8028-DA1754B454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31EF213-6A00-47A5-B2D1-727FB9F55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1ADB51C-49D1-44A8-B337-9B8FC24F5E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1E01AE-7DD8-4700-8982-312544949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E5F0081-9F62-4837-A907-02B4B807B1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553720</xdr:colOff>
      <xdr:row>7</xdr:row>
      <xdr:rowOff>74930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4F0F9BD-7560-4F1F-8688-41811DE6FA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553720</xdr:colOff>
      <xdr:row>37</xdr:row>
      <xdr:rowOff>74930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3617210-72F0-49B8-9D80-B4BC7EF57C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"/>
          <a:ext cx="1439545" cy="10179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30</xdr:row>
      <xdr:rowOff>19050</xdr:rowOff>
    </xdr:from>
    <xdr:to>
      <xdr:col>4</xdr:col>
      <xdr:colOff>85726</xdr:colOff>
      <xdr:row>48</xdr:row>
      <xdr:rowOff>85725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DDB014C-3084-4834-A9A1-0C3CADB08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52450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0D95D72-9193-40CE-A27E-88CA7D68B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E346721-374F-4FC6-81DE-B331FE4F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1318DEB4-BB07-4915-9CCF-C35453CEF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EAEC643-C980-4362-944D-F20F51F4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30</xdr:row>
      <xdr:rowOff>38101</xdr:rowOff>
    </xdr:from>
    <xdr:to>
      <xdr:col>10</xdr:col>
      <xdr:colOff>419101</xdr:colOff>
      <xdr:row>48</xdr:row>
      <xdr:rowOff>114300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30</xdr:row>
      <xdr:rowOff>19050</xdr:rowOff>
    </xdr:from>
    <xdr:to>
      <xdr:col>4</xdr:col>
      <xdr:colOff>85725</xdr:colOff>
      <xdr:row>48</xdr:row>
      <xdr:rowOff>85725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6C8692C-6ED2-4CD1-A42C-020C69B7F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142875</xdr:colOff>
      <xdr:row>5</xdr:row>
      <xdr:rowOff>25650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D4A0FEE-D3B4-4739-A6DF-7E809BD4C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23875"/>
          <a:ext cx="1228725" cy="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19049</xdr:rowOff>
    </xdr:from>
    <xdr:to>
      <xdr:col>1</xdr:col>
      <xdr:colOff>189265</xdr:colOff>
      <xdr:row>3</xdr:row>
      <xdr:rowOff>549524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847E974-281E-441B-9F27-C60104D00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61999"/>
          <a:ext cx="722665" cy="53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29</xdr:row>
      <xdr:rowOff>19049</xdr:rowOff>
    </xdr:from>
    <xdr:ext cx="722665" cy="530475"/>
    <xdr:pic>
      <xdr:nvPicPr>
        <xdr:cNvPr id="6" name="Obrázek 5">
          <a:extLst>
            <a:ext uri="{FF2B5EF4-FFF2-40B4-BE49-F238E27FC236}">
              <a16:creationId xmlns:a16="http://schemas.microsoft.com/office/drawing/2014/main" id="{B6158311-4EF9-4A85-B6CF-CE21169F0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61999"/>
          <a:ext cx="722665" cy="53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20</xdr:col>
      <xdr:colOff>220899</xdr:colOff>
      <xdr:row>39</xdr:row>
      <xdr:rowOff>142875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4B5CB82-4300-4BB6-A464-FCF52450A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6516924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</xdr:colOff>
      <xdr:row>26</xdr:row>
      <xdr:rowOff>26670</xdr:rowOff>
    </xdr:from>
    <xdr:to>
      <xdr:col>9</xdr:col>
      <xdr:colOff>26671</xdr:colOff>
      <xdr:row>46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462915</xdr:colOff>
      <xdr:row>26</xdr:row>
      <xdr:rowOff>22859</xdr:rowOff>
    </xdr:from>
    <xdr:to>
      <xdr:col>18</xdr:col>
      <xdr:colOff>472441</xdr:colOff>
      <xdr:row>46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51</xdr:row>
      <xdr:rowOff>123825</xdr:rowOff>
    </xdr:from>
    <xdr:to>
      <xdr:col>5</xdr:col>
      <xdr:colOff>268210</xdr:colOff>
      <xdr:row>57</xdr:row>
      <xdr:rowOff>152399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979DC28-618F-489C-8272-5CFAC0F6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448675"/>
          <a:ext cx="3420985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27</xdr:row>
      <xdr:rowOff>17463</xdr:rowOff>
    </xdr:from>
    <xdr:to>
      <xdr:col>8</xdr:col>
      <xdr:colOff>457201</xdr:colOff>
      <xdr:row>44</xdr:row>
      <xdr:rowOff>88900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27</xdr:row>
      <xdr:rowOff>17462</xdr:rowOff>
    </xdr:from>
    <xdr:to>
      <xdr:col>19</xdr:col>
      <xdr:colOff>380999</xdr:colOff>
      <xdr:row>44</xdr:row>
      <xdr:rowOff>107950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26</xdr:row>
      <xdr:rowOff>9525</xdr:rowOff>
    </xdr:from>
    <xdr:to>
      <xdr:col>6</xdr:col>
      <xdr:colOff>266700</xdr:colOff>
      <xdr:row>40</xdr:row>
      <xdr:rowOff>107950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485775</xdr:colOff>
      <xdr:row>26</xdr:row>
      <xdr:rowOff>47625</xdr:rowOff>
    </xdr:from>
    <xdr:to>
      <xdr:col>13</xdr:col>
      <xdr:colOff>285751</xdr:colOff>
      <xdr:row>40</xdr:row>
      <xdr:rowOff>114300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26</xdr:row>
      <xdr:rowOff>19049</xdr:rowOff>
    </xdr:from>
    <xdr:to>
      <xdr:col>20</xdr:col>
      <xdr:colOff>476250</xdr:colOff>
      <xdr:row>40</xdr:row>
      <xdr:rowOff>88900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42</xdr:row>
      <xdr:rowOff>47625</xdr:rowOff>
    </xdr:from>
    <xdr:to>
      <xdr:col>3</xdr:col>
      <xdr:colOff>523874</xdr:colOff>
      <xdr:row>50</xdr:row>
      <xdr:rowOff>228599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42</xdr:row>
      <xdr:rowOff>38100</xdr:rowOff>
    </xdr:from>
    <xdr:to>
      <xdr:col>6</xdr:col>
      <xdr:colOff>495300</xdr:colOff>
      <xdr:row>50</xdr:row>
      <xdr:rowOff>219075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57150</xdr:colOff>
      <xdr:row>42</xdr:row>
      <xdr:rowOff>38100</xdr:rowOff>
    </xdr:from>
    <xdr:to>
      <xdr:col>9</xdr:col>
      <xdr:colOff>485775</xdr:colOff>
      <xdr:row>50</xdr:row>
      <xdr:rowOff>209550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38</xdr:row>
      <xdr:rowOff>57150</xdr:rowOff>
    </xdr:from>
    <xdr:to>
      <xdr:col>6</xdr:col>
      <xdr:colOff>295275</xdr:colOff>
      <xdr:row>52</xdr:row>
      <xdr:rowOff>146050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295276</xdr:colOff>
      <xdr:row>38</xdr:row>
      <xdr:rowOff>47626</xdr:rowOff>
    </xdr:from>
    <xdr:to>
      <xdr:col>10</xdr:col>
      <xdr:colOff>228600</xdr:colOff>
      <xdr:row>52</xdr:row>
      <xdr:rowOff>152400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333375</xdr:colOff>
      <xdr:row>3</xdr:row>
      <xdr:rowOff>161925</xdr:rowOff>
    </xdr:from>
    <xdr:to>
      <xdr:col>2</xdr:col>
      <xdr:colOff>303862</xdr:colOff>
      <xdr:row>4</xdr:row>
      <xdr:rowOff>600075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CA5F219-B358-4BE5-89F0-6C82426C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3375" y="723900"/>
          <a:ext cx="856312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28576</xdr:rowOff>
    </xdr:from>
    <xdr:to>
      <xdr:col>6</xdr:col>
      <xdr:colOff>247650</xdr:colOff>
      <xdr:row>52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85726</xdr:colOff>
      <xdr:row>37</xdr:row>
      <xdr:rowOff>57151</xdr:rowOff>
    </xdr:from>
    <xdr:to>
      <xdr:col>10</xdr:col>
      <xdr:colOff>19050</xdr:colOff>
      <xdr:row>52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239378</xdr:colOff>
      <xdr:row>4</xdr:row>
      <xdr:rowOff>202531</xdr:rowOff>
    </xdr:from>
    <xdr:to>
      <xdr:col>2</xdr:col>
      <xdr:colOff>53640</xdr:colOff>
      <xdr:row>4</xdr:row>
      <xdr:rowOff>254167</xdr:rowOff>
    </xdr:to>
    <xdr:sp macro="" textlink="">
      <xdr:nvSpPr>
        <xdr:cNvPr id="12" name="Volný tvar: obrazec 11">
          <a:extLst>
            <a:ext uri="{FF2B5EF4-FFF2-40B4-BE49-F238E27FC236}">
              <a16:creationId xmlns:a16="http://schemas.microsoft.com/office/drawing/2014/main" id="{DB01A8B9-E390-4F63-A3F6-B16E7BA119F9}"/>
            </a:ext>
          </a:extLst>
        </xdr:cNvPr>
        <xdr:cNvSpPr/>
      </xdr:nvSpPr>
      <xdr:spPr>
        <a:xfrm>
          <a:off x="868028" y="955006"/>
          <a:ext cx="71437" cy="51636"/>
        </a:xfrm>
        <a:custGeom>
          <a:avLst/>
          <a:gdLst>
            <a:gd name="connsiteX0" fmla="*/ 0 w 3305175"/>
            <a:gd name="connsiteY0" fmla="*/ 771525 h 2552700"/>
            <a:gd name="connsiteX1" fmla="*/ 514350 w 3305175"/>
            <a:gd name="connsiteY1" fmla="*/ 514350 h 2552700"/>
            <a:gd name="connsiteX2" fmla="*/ 647700 w 3305175"/>
            <a:gd name="connsiteY2" fmla="*/ 647700 h 2552700"/>
            <a:gd name="connsiteX3" fmla="*/ 904875 w 3305175"/>
            <a:gd name="connsiteY3" fmla="*/ 628650 h 2552700"/>
            <a:gd name="connsiteX4" fmla="*/ 933450 w 3305175"/>
            <a:gd name="connsiteY4" fmla="*/ 342900 h 2552700"/>
            <a:gd name="connsiteX5" fmla="*/ 1066800 w 3305175"/>
            <a:gd name="connsiteY5" fmla="*/ 314325 h 2552700"/>
            <a:gd name="connsiteX6" fmla="*/ 1123950 w 3305175"/>
            <a:gd name="connsiteY6" fmla="*/ 381000 h 2552700"/>
            <a:gd name="connsiteX7" fmla="*/ 1781175 w 3305175"/>
            <a:gd name="connsiteY7" fmla="*/ 28575 h 2552700"/>
            <a:gd name="connsiteX8" fmla="*/ 2085975 w 3305175"/>
            <a:gd name="connsiteY8" fmla="*/ 0 h 2552700"/>
            <a:gd name="connsiteX9" fmla="*/ 2447925 w 3305175"/>
            <a:gd name="connsiteY9" fmla="*/ 285750 h 2552700"/>
            <a:gd name="connsiteX10" fmla="*/ 2600325 w 3305175"/>
            <a:gd name="connsiteY10" fmla="*/ 533400 h 2552700"/>
            <a:gd name="connsiteX11" fmla="*/ 2933700 w 3305175"/>
            <a:gd name="connsiteY11" fmla="*/ 581025 h 2552700"/>
            <a:gd name="connsiteX12" fmla="*/ 3305175 w 3305175"/>
            <a:gd name="connsiteY12" fmla="*/ 1038225 h 2552700"/>
            <a:gd name="connsiteX13" fmla="*/ 2867025 w 3305175"/>
            <a:gd name="connsiteY13" fmla="*/ 1295400 h 2552700"/>
            <a:gd name="connsiteX14" fmla="*/ 3067050 w 3305175"/>
            <a:gd name="connsiteY14" fmla="*/ 1752600 h 2552700"/>
            <a:gd name="connsiteX15" fmla="*/ 2847975 w 3305175"/>
            <a:gd name="connsiteY15" fmla="*/ 1981200 h 2552700"/>
            <a:gd name="connsiteX16" fmla="*/ 2371725 w 3305175"/>
            <a:gd name="connsiteY16" fmla="*/ 1781175 h 2552700"/>
            <a:gd name="connsiteX17" fmla="*/ 1400175 w 3305175"/>
            <a:gd name="connsiteY17" fmla="*/ 2295525 h 2552700"/>
            <a:gd name="connsiteX18" fmla="*/ 1143000 w 3305175"/>
            <a:gd name="connsiteY18" fmla="*/ 2228850 h 2552700"/>
            <a:gd name="connsiteX19" fmla="*/ 1143000 w 3305175"/>
            <a:gd name="connsiteY19" fmla="*/ 2552700 h 2552700"/>
            <a:gd name="connsiteX20" fmla="*/ 676275 w 3305175"/>
            <a:gd name="connsiteY20" fmla="*/ 2447925 h 2552700"/>
            <a:gd name="connsiteX21" fmla="*/ 571500 w 3305175"/>
            <a:gd name="connsiteY21" fmla="*/ 1771650 h 2552700"/>
            <a:gd name="connsiteX22" fmla="*/ 104775 w 3305175"/>
            <a:gd name="connsiteY22" fmla="*/ 1333500 h 2552700"/>
            <a:gd name="connsiteX23" fmla="*/ 381000 w 3305175"/>
            <a:gd name="connsiteY23" fmla="*/ 1066800 h 2552700"/>
            <a:gd name="connsiteX24" fmla="*/ 0 w 3305175"/>
            <a:gd name="connsiteY24" fmla="*/ 771525 h 2552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3305175" h="2552700">
              <a:moveTo>
                <a:pt x="0" y="771525"/>
              </a:moveTo>
              <a:lnTo>
                <a:pt x="514350" y="514350"/>
              </a:lnTo>
              <a:lnTo>
                <a:pt x="647700" y="647700"/>
              </a:lnTo>
              <a:lnTo>
                <a:pt x="904875" y="628650"/>
              </a:lnTo>
              <a:lnTo>
                <a:pt x="933450" y="342900"/>
              </a:lnTo>
              <a:lnTo>
                <a:pt x="1066800" y="314325"/>
              </a:lnTo>
              <a:lnTo>
                <a:pt x="1123950" y="381000"/>
              </a:lnTo>
              <a:lnTo>
                <a:pt x="1781175" y="28575"/>
              </a:lnTo>
              <a:lnTo>
                <a:pt x="2085975" y="0"/>
              </a:lnTo>
              <a:lnTo>
                <a:pt x="2447925" y="285750"/>
              </a:lnTo>
              <a:lnTo>
                <a:pt x="2600325" y="533400"/>
              </a:lnTo>
              <a:lnTo>
                <a:pt x="2933700" y="581025"/>
              </a:lnTo>
              <a:lnTo>
                <a:pt x="3305175" y="1038225"/>
              </a:lnTo>
              <a:lnTo>
                <a:pt x="2867025" y="1295400"/>
              </a:lnTo>
              <a:lnTo>
                <a:pt x="3067050" y="1752600"/>
              </a:lnTo>
              <a:lnTo>
                <a:pt x="2847975" y="1981200"/>
              </a:lnTo>
              <a:lnTo>
                <a:pt x="2371725" y="1781175"/>
              </a:lnTo>
              <a:lnTo>
                <a:pt x="1400175" y="2295525"/>
              </a:lnTo>
              <a:lnTo>
                <a:pt x="1143000" y="2228850"/>
              </a:lnTo>
              <a:lnTo>
                <a:pt x="1143000" y="2552700"/>
              </a:lnTo>
              <a:lnTo>
                <a:pt x="676275" y="2447925"/>
              </a:lnTo>
              <a:lnTo>
                <a:pt x="571500" y="1771650"/>
              </a:lnTo>
              <a:lnTo>
                <a:pt x="104775" y="1333500"/>
              </a:lnTo>
              <a:lnTo>
                <a:pt x="381000" y="1066800"/>
              </a:lnTo>
              <a:lnTo>
                <a:pt x="0" y="771525"/>
              </a:lnTo>
              <a:close/>
            </a:path>
          </a:pathLst>
        </a:cu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323850</xdr:colOff>
      <xdr:row>3</xdr:row>
      <xdr:rowOff>28575</xdr:rowOff>
    </xdr:from>
    <xdr:to>
      <xdr:col>2</xdr:col>
      <xdr:colOff>295275</xdr:colOff>
      <xdr:row>4</xdr:row>
      <xdr:rowOff>28423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9C67806-0819-47C3-91A3-A85E2A7C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" y="495300"/>
          <a:ext cx="857250" cy="6284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295276</xdr:colOff>
      <xdr:row>37</xdr:row>
      <xdr:rowOff>66675</xdr:rowOff>
    </xdr:from>
    <xdr:to>
      <xdr:col>10</xdr:col>
      <xdr:colOff>228600</xdr:colOff>
      <xdr:row>52</xdr:row>
      <xdr:rowOff>158750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37</xdr:row>
      <xdr:rowOff>47625</xdr:rowOff>
    </xdr:from>
    <xdr:to>
      <xdr:col>6</xdr:col>
      <xdr:colOff>295275</xdr:colOff>
      <xdr:row>52</xdr:row>
      <xdr:rowOff>146050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A8DF801-2D4A-4124-AAD4-B6666B905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314326</xdr:colOff>
      <xdr:row>2</xdr:row>
      <xdr:rowOff>142876</xdr:rowOff>
    </xdr:from>
    <xdr:to>
      <xdr:col>2</xdr:col>
      <xdr:colOff>286697</xdr:colOff>
      <xdr:row>3</xdr:row>
      <xdr:rowOff>581026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B611F01-5990-4EE6-985D-4D5B1F8E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4326" y="447676"/>
          <a:ext cx="858196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4EE4A-A0B5-4F83-9926-315C635D1C0E}">
  <sheetPr codeName="List1"/>
  <dimension ref="A1:K50"/>
  <sheetViews>
    <sheetView showGridLines="0" tabSelected="1" showWhiteSpace="0" zoomScaleNormal="100" zoomScaleSheetLayoutView="70" zoomScalePageLayoutView="70" workbookViewId="0">
      <selection activeCell="D1" sqref="D1"/>
    </sheetView>
  </sheetViews>
  <sheetFormatPr defaultColWidth="9.1796875" defaultRowHeight="12.5"/>
  <cols>
    <col min="1" max="1" width="41.54296875" style="134" customWidth="1"/>
    <col min="2" max="2" width="50.453125" style="134" customWidth="1"/>
    <col min="3" max="9" width="9.81640625" style="134" customWidth="1"/>
    <col min="10" max="10" width="10.26953125" style="134" customWidth="1"/>
    <col min="11" max="16384" width="9.1796875" style="134"/>
  </cols>
  <sheetData>
    <row r="1" spans="1:11" ht="399.75" customHeight="1">
      <c r="A1" s="404" t="s">
        <v>320</v>
      </c>
      <c r="B1" s="405"/>
    </row>
    <row r="2" spans="1:11" ht="380.15" customHeight="1">
      <c r="A2" s="135"/>
      <c r="B2" s="136"/>
      <c r="C2" s="137"/>
      <c r="D2" s="137"/>
      <c r="E2" s="137"/>
      <c r="F2" s="137"/>
      <c r="G2" s="137"/>
      <c r="H2" s="137"/>
      <c r="I2" s="137"/>
      <c r="J2" s="137"/>
      <c r="K2" s="134" t="s">
        <v>255</v>
      </c>
    </row>
    <row r="3" spans="1:11" ht="13">
      <c r="B3" s="138"/>
      <c r="D3" s="139"/>
      <c r="E3" s="140"/>
      <c r="F3" s="140"/>
      <c r="G3" s="140"/>
      <c r="J3" s="141"/>
    </row>
    <row r="9" spans="1:11" ht="13">
      <c r="B9" s="142"/>
      <c r="I9" s="143"/>
    </row>
    <row r="10" spans="1:11">
      <c r="B10" s="144"/>
      <c r="C10" s="145"/>
    </row>
    <row r="11" spans="1:11">
      <c r="B11" s="144"/>
      <c r="C11" s="145"/>
    </row>
    <row r="12" spans="1:11">
      <c r="B12" s="144"/>
      <c r="C12" s="145"/>
    </row>
    <row r="13" spans="1:11">
      <c r="A13" s="146"/>
      <c r="B13" s="147"/>
      <c r="C13" s="148"/>
      <c r="D13" s="146"/>
      <c r="E13" s="146"/>
      <c r="F13" s="146"/>
      <c r="G13" s="146"/>
      <c r="H13" s="146"/>
      <c r="I13" s="146"/>
      <c r="J13" s="146"/>
    </row>
    <row r="14" spans="1:11">
      <c r="A14" s="146"/>
      <c r="B14" s="147"/>
      <c r="C14" s="148"/>
      <c r="D14" s="146"/>
      <c r="E14" s="146"/>
      <c r="F14" s="146"/>
      <c r="G14" s="146"/>
      <c r="H14" s="146"/>
      <c r="I14" s="146"/>
      <c r="J14" s="146"/>
    </row>
    <row r="15" spans="1:11">
      <c r="A15" s="146"/>
      <c r="B15" s="147"/>
      <c r="C15" s="148"/>
      <c r="D15" s="146"/>
      <c r="E15" s="146"/>
      <c r="F15" s="146"/>
      <c r="G15" s="146"/>
      <c r="H15" s="146"/>
      <c r="I15" s="146"/>
      <c r="J15" s="146"/>
    </row>
    <row r="16" spans="1:11">
      <c r="A16" s="146"/>
      <c r="B16" s="147"/>
      <c r="C16" s="148"/>
      <c r="D16" s="146"/>
      <c r="E16" s="146"/>
      <c r="F16" s="146"/>
      <c r="G16" s="146"/>
      <c r="H16" s="146"/>
      <c r="I16" s="146"/>
      <c r="J16" s="146"/>
    </row>
    <row r="17" spans="1:10">
      <c r="A17" s="146"/>
      <c r="B17" s="147"/>
      <c r="C17" s="148"/>
      <c r="D17" s="146"/>
      <c r="E17" s="146"/>
      <c r="F17" s="146"/>
      <c r="G17" s="146"/>
      <c r="H17" s="146"/>
      <c r="I17" s="146"/>
      <c r="J17" s="146"/>
    </row>
    <row r="18" spans="1:10">
      <c r="A18" s="146"/>
      <c r="B18" s="147"/>
      <c r="C18" s="148"/>
      <c r="D18" s="146"/>
      <c r="E18" s="146"/>
      <c r="F18" s="146"/>
      <c r="G18" s="146"/>
      <c r="H18" s="146"/>
      <c r="I18" s="146"/>
      <c r="J18" s="146"/>
    </row>
    <row r="19" spans="1:10">
      <c r="A19" s="146"/>
      <c r="B19" s="147"/>
      <c r="C19" s="148"/>
      <c r="D19" s="146"/>
      <c r="E19" s="146"/>
      <c r="F19" s="146"/>
      <c r="G19" s="146"/>
      <c r="H19" s="146"/>
      <c r="I19" s="146"/>
      <c r="J19" s="146"/>
    </row>
    <row r="21" spans="1:10">
      <c r="A21" s="146"/>
      <c r="B21" s="147"/>
      <c r="C21" s="148"/>
      <c r="D21" s="146"/>
      <c r="E21" s="146"/>
      <c r="F21" s="146"/>
      <c r="G21" s="146"/>
      <c r="H21" s="146"/>
      <c r="I21" s="146"/>
      <c r="J21" s="146"/>
    </row>
    <row r="22" spans="1:10">
      <c r="A22" s="146"/>
      <c r="B22" s="147"/>
      <c r="C22" s="148"/>
      <c r="D22" s="146"/>
      <c r="E22" s="146"/>
      <c r="F22" s="146"/>
      <c r="G22" s="146"/>
      <c r="H22" s="146"/>
      <c r="I22" s="146"/>
      <c r="J22" s="146"/>
    </row>
    <row r="23" spans="1:10">
      <c r="A23" s="146"/>
      <c r="B23" s="147"/>
      <c r="C23" s="148"/>
      <c r="D23" s="146"/>
      <c r="E23" s="146"/>
      <c r="F23" s="146"/>
      <c r="G23" s="146"/>
      <c r="H23" s="146"/>
      <c r="I23" s="146"/>
      <c r="J23" s="146"/>
    </row>
    <row r="25" spans="1:10">
      <c r="A25" s="146"/>
      <c r="C25" s="148"/>
      <c r="D25" s="146"/>
      <c r="E25" s="146"/>
      <c r="F25" s="146"/>
      <c r="G25" s="146"/>
      <c r="H25" s="146"/>
      <c r="I25" s="146"/>
      <c r="J25" s="146"/>
    </row>
    <row r="26" spans="1:10">
      <c r="A26" s="146"/>
      <c r="C26" s="148"/>
      <c r="D26" s="146"/>
      <c r="E26" s="146"/>
      <c r="F26" s="146"/>
      <c r="G26" s="146"/>
      <c r="H26" s="146"/>
      <c r="I26" s="146"/>
      <c r="J26" s="146"/>
    </row>
    <row r="27" spans="1:10">
      <c r="A27" s="146"/>
      <c r="C27" s="148"/>
      <c r="D27" s="146"/>
      <c r="E27" s="146"/>
      <c r="F27" s="146"/>
      <c r="G27" s="146"/>
      <c r="H27" s="146"/>
      <c r="I27" s="146"/>
      <c r="J27" s="146"/>
    </row>
    <row r="28" spans="1:10" ht="13">
      <c r="A28" s="406"/>
      <c r="B28" s="406"/>
      <c r="C28" s="406"/>
      <c r="D28" s="406"/>
      <c r="E28" s="406"/>
      <c r="F28" s="406"/>
      <c r="G28" s="406"/>
      <c r="H28" s="406"/>
      <c r="I28" s="406"/>
      <c r="J28" s="406"/>
    </row>
    <row r="29" spans="1:10">
      <c r="A29" s="146"/>
      <c r="B29" s="147"/>
      <c r="C29" s="148"/>
      <c r="D29" s="146"/>
      <c r="E29" s="146"/>
      <c r="F29" s="146"/>
      <c r="G29" s="146"/>
      <c r="H29" s="146"/>
      <c r="I29" s="146"/>
      <c r="J29" s="146"/>
    </row>
    <row r="31" spans="1:10">
      <c r="A31" s="146"/>
      <c r="B31" s="147"/>
      <c r="C31" s="148"/>
      <c r="D31" s="146"/>
      <c r="E31" s="146"/>
      <c r="F31" s="146"/>
      <c r="G31" s="146"/>
      <c r="H31" s="146"/>
      <c r="I31" s="146"/>
      <c r="J31" s="146"/>
    </row>
    <row r="32" spans="1:10">
      <c r="A32" s="146"/>
      <c r="B32" s="147"/>
      <c r="C32" s="148"/>
      <c r="D32" s="146"/>
      <c r="E32" s="146"/>
      <c r="F32" s="146"/>
      <c r="G32" s="146"/>
      <c r="H32" s="146"/>
      <c r="I32" s="146"/>
      <c r="J32" s="146"/>
    </row>
    <row r="33" spans="1:10" ht="13">
      <c r="A33" s="407"/>
      <c r="B33" s="407"/>
      <c r="C33" s="407"/>
      <c r="D33" s="407"/>
      <c r="E33" s="407"/>
      <c r="F33" s="407"/>
      <c r="G33" s="407"/>
      <c r="H33" s="407"/>
      <c r="I33" s="407"/>
      <c r="J33" s="407"/>
    </row>
    <row r="34" spans="1:10" ht="13">
      <c r="B34" s="141"/>
      <c r="C34" s="141"/>
      <c r="D34" s="141"/>
      <c r="E34" s="141"/>
      <c r="F34" s="141"/>
      <c r="G34" s="141"/>
      <c r="H34" s="141"/>
      <c r="I34" s="141"/>
      <c r="J34" s="141"/>
    </row>
    <row r="37" spans="1:10">
      <c r="B37" s="144"/>
      <c r="C37" s="145"/>
    </row>
    <row r="39" spans="1:10" ht="13">
      <c r="B39" s="149"/>
      <c r="C39" s="149"/>
      <c r="D39" s="149"/>
      <c r="E39" s="149"/>
      <c r="F39" s="149"/>
      <c r="G39" s="149"/>
      <c r="H39" s="149"/>
      <c r="I39" s="149"/>
    </row>
    <row r="50" spans="1:10">
      <c r="A50" s="408"/>
      <c r="B50" s="408"/>
      <c r="C50" s="408"/>
      <c r="D50" s="408"/>
      <c r="E50" s="408"/>
      <c r="F50" s="408"/>
      <c r="G50" s="408"/>
      <c r="H50" s="408"/>
      <c r="I50" s="408"/>
      <c r="J50" s="408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/>
  <dimension ref="A1:O55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18.453125" style="76" customWidth="1"/>
    <col min="2" max="10" width="9" style="76" customWidth="1"/>
    <col min="11" max="12" width="7.7265625" style="76" customWidth="1"/>
    <col min="13" max="13" width="9.26953125" style="76" bestFit="1" customWidth="1"/>
    <col min="14" max="14" width="9.81640625" style="76" bestFit="1" customWidth="1"/>
    <col min="15" max="16384" width="9.1796875" style="76"/>
  </cols>
  <sheetData>
    <row r="1" spans="1:10" ht="18">
      <c r="A1" s="462" t="s">
        <v>292</v>
      </c>
      <c r="B1" s="462"/>
      <c r="C1" s="462"/>
      <c r="D1" s="462"/>
      <c r="E1" s="462"/>
      <c r="F1" s="462"/>
      <c r="G1" s="462"/>
      <c r="H1" s="462"/>
      <c r="I1" s="462"/>
      <c r="J1" s="462"/>
    </row>
    <row r="2" spans="1:10" ht="6" customHeight="1">
      <c r="A2" s="253"/>
      <c r="B2" s="254"/>
      <c r="C2" s="254"/>
      <c r="D2" s="254"/>
      <c r="E2" s="254"/>
      <c r="F2" s="254"/>
      <c r="G2" s="254"/>
      <c r="H2" s="254"/>
      <c r="I2" s="254"/>
      <c r="J2" s="254"/>
    </row>
    <row r="3" spans="1:10" ht="15.75" customHeight="1">
      <c r="A3" s="299">
        <f>'3.1'!A4</f>
        <v>2024</v>
      </c>
      <c r="B3" s="464" t="str">
        <f>'3.1'!D5</f>
        <v>Říjen</v>
      </c>
      <c r="C3" s="463"/>
      <c r="D3" s="465"/>
      <c r="E3" s="463" t="str">
        <f>'3.1'!E5</f>
        <v>Listopad</v>
      </c>
      <c r="F3" s="463"/>
      <c r="G3" s="463"/>
      <c r="H3" s="464" t="str">
        <f>'3.1'!F5</f>
        <v>Prosinec</v>
      </c>
      <c r="I3" s="463"/>
      <c r="J3" s="463"/>
    </row>
    <row r="4" spans="1:10" ht="28.5" customHeight="1">
      <c r="A4" s="273"/>
      <c r="B4" s="466" t="s">
        <v>60</v>
      </c>
      <c r="C4" s="467"/>
      <c r="D4" s="222" t="s">
        <v>182</v>
      </c>
      <c r="E4" s="467" t="s">
        <v>60</v>
      </c>
      <c r="F4" s="467"/>
      <c r="G4" s="219" t="s">
        <v>182</v>
      </c>
      <c r="H4" s="466" t="s">
        <v>60</v>
      </c>
      <c r="I4" s="467"/>
      <c r="J4" s="219" t="s">
        <v>182</v>
      </c>
    </row>
    <row r="5" spans="1:10" ht="15" customHeight="1">
      <c r="A5" s="261" t="s">
        <v>174</v>
      </c>
      <c r="B5" s="221" t="s">
        <v>257</v>
      </c>
      <c r="C5" s="219" t="s">
        <v>258</v>
      </c>
      <c r="D5" s="222" t="s">
        <v>226</v>
      </c>
      <c r="E5" s="219" t="s">
        <v>257</v>
      </c>
      <c r="F5" s="219" t="s">
        <v>258</v>
      </c>
      <c r="G5" s="219" t="s">
        <v>226</v>
      </c>
      <c r="H5" s="221" t="s">
        <v>257</v>
      </c>
      <c r="I5" s="219" t="s">
        <v>258</v>
      </c>
      <c r="J5" s="219" t="s">
        <v>226</v>
      </c>
    </row>
    <row r="6" spans="1:10" ht="12.65" customHeight="1">
      <c r="A6" s="154">
        <v>1</v>
      </c>
      <c r="B6" s="155">
        <v>17368.533585218269</v>
      </c>
      <c r="C6" s="156">
        <v>190203.7565434635</v>
      </c>
      <c r="D6" s="267">
        <v>10.3</v>
      </c>
      <c r="E6" s="156">
        <v>18508.679099057139</v>
      </c>
      <c r="F6" s="156">
        <v>202026.72642526665</v>
      </c>
      <c r="G6" s="255">
        <v>7.5</v>
      </c>
      <c r="H6" s="155">
        <v>28853.504536251159</v>
      </c>
      <c r="I6" s="156">
        <v>314168.00247519359</v>
      </c>
      <c r="J6" s="255">
        <v>-0.4</v>
      </c>
    </row>
    <row r="7" spans="1:10" ht="12.65" customHeight="1">
      <c r="A7" s="154">
        <v>2</v>
      </c>
      <c r="B7" s="155">
        <v>18520.866419007896</v>
      </c>
      <c r="C7" s="156">
        <v>202841.5695434635</v>
      </c>
      <c r="D7" s="267">
        <v>9.6</v>
      </c>
      <c r="E7" s="156">
        <v>19445.567858874205</v>
      </c>
      <c r="F7" s="156">
        <v>212311.30942526666</v>
      </c>
      <c r="G7" s="255">
        <v>6.2</v>
      </c>
      <c r="H7" s="155">
        <v>34339.038749980202</v>
      </c>
      <c r="I7" s="156">
        <v>373963.26647519355</v>
      </c>
      <c r="J7" s="255">
        <v>0.5</v>
      </c>
    </row>
    <row r="8" spans="1:10" ht="12.65" customHeight="1">
      <c r="A8" s="154">
        <v>3</v>
      </c>
      <c r="B8" s="155">
        <v>18571.859230517708</v>
      </c>
      <c r="C8" s="156">
        <v>203354.31254346349</v>
      </c>
      <c r="D8" s="267">
        <v>9</v>
      </c>
      <c r="E8" s="156">
        <v>21623.233667621607</v>
      </c>
      <c r="F8" s="156">
        <v>236030.45042526667</v>
      </c>
      <c r="G8" s="255">
        <v>2.2000000000000002</v>
      </c>
      <c r="H8" s="155">
        <v>34482.531515801733</v>
      </c>
      <c r="I8" s="156">
        <v>375514.76347519358</v>
      </c>
      <c r="J8" s="255">
        <v>2</v>
      </c>
    </row>
    <row r="9" spans="1:10" ht="12.65" customHeight="1">
      <c r="A9" s="154">
        <v>4</v>
      </c>
      <c r="B9" s="155">
        <v>19117.82226493819</v>
      </c>
      <c r="C9" s="156">
        <v>209397.2075434635</v>
      </c>
      <c r="D9" s="267">
        <v>8.6999999999999993</v>
      </c>
      <c r="E9" s="156">
        <v>27813.663378927617</v>
      </c>
      <c r="F9" s="156">
        <v>303639.58242526662</v>
      </c>
      <c r="G9" s="255">
        <v>3.8</v>
      </c>
      <c r="H9" s="155">
        <v>34636.517617525293</v>
      </c>
      <c r="I9" s="156">
        <v>377168.06347519357</v>
      </c>
      <c r="J9" s="255">
        <v>1.2</v>
      </c>
    </row>
    <row r="10" spans="1:10" ht="12.65" customHeight="1">
      <c r="A10" s="154">
        <v>5</v>
      </c>
      <c r="B10" s="155">
        <v>15736.993944451748</v>
      </c>
      <c r="C10" s="156">
        <v>172325.73954346351</v>
      </c>
      <c r="D10" s="267">
        <v>8.4</v>
      </c>
      <c r="E10" s="156">
        <v>27932.64689869299</v>
      </c>
      <c r="F10" s="156">
        <v>304939.54242526664</v>
      </c>
      <c r="G10" s="255">
        <v>4</v>
      </c>
      <c r="H10" s="155">
        <v>34745.519681680154</v>
      </c>
      <c r="I10" s="156">
        <v>378359.69147519354</v>
      </c>
      <c r="J10" s="255">
        <v>0.1</v>
      </c>
    </row>
    <row r="11" spans="1:10" ht="12.65" customHeight="1">
      <c r="A11" s="154">
        <v>6</v>
      </c>
      <c r="B11" s="155">
        <v>16053.180105281826</v>
      </c>
      <c r="C11" s="156">
        <v>175786.51054346349</v>
      </c>
      <c r="D11" s="267">
        <v>7.4</v>
      </c>
      <c r="E11" s="156">
        <v>28785.428580364503</v>
      </c>
      <c r="F11" s="156">
        <v>314266.75642526662</v>
      </c>
      <c r="G11" s="255">
        <v>4.4000000000000004</v>
      </c>
      <c r="H11" s="155">
        <v>33073.991914693994</v>
      </c>
      <c r="I11" s="156">
        <v>360142.48247519357</v>
      </c>
      <c r="J11" s="255">
        <v>1.8</v>
      </c>
    </row>
    <row r="12" spans="1:10" ht="12.65" customHeight="1">
      <c r="A12" s="154">
        <v>7</v>
      </c>
      <c r="B12" s="155">
        <v>18424.353457711946</v>
      </c>
      <c r="C12" s="156">
        <v>201728.3685434635</v>
      </c>
      <c r="D12" s="267">
        <v>10.4</v>
      </c>
      <c r="E12" s="156">
        <v>27982.410535312607</v>
      </c>
      <c r="F12" s="156">
        <v>305421.49042526662</v>
      </c>
      <c r="G12" s="255">
        <v>4.5999999999999996</v>
      </c>
      <c r="H12" s="155">
        <v>27616.250965943163</v>
      </c>
      <c r="I12" s="156">
        <v>300702.46347519354</v>
      </c>
      <c r="J12" s="255">
        <v>2.5</v>
      </c>
    </row>
    <row r="13" spans="1:10" ht="12.65" customHeight="1">
      <c r="A13" s="154">
        <v>8</v>
      </c>
      <c r="B13" s="155">
        <v>17694.555191435385</v>
      </c>
      <c r="C13" s="156">
        <v>193684.96454346349</v>
      </c>
      <c r="D13" s="267">
        <v>14</v>
      </c>
      <c r="E13" s="156">
        <v>27145.973663121255</v>
      </c>
      <c r="F13" s="156">
        <v>296291.93542526662</v>
      </c>
      <c r="G13" s="255">
        <v>3.4</v>
      </c>
      <c r="H13" s="155">
        <v>28184.111630635227</v>
      </c>
      <c r="I13" s="156">
        <v>306873.75247519359</v>
      </c>
      <c r="J13" s="255">
        <v>1.5</v>
      </c>
    </row>
    <row r="14" spans="1:10" ht="12.65" customHeight="1">
      <c r="A14" s="154">
        <v>9</v>
      </c>
      <c r="B14" s="155">
        <v>16235.39365353516</v>
      </c>
      <c r="C14" s="156">
        <v>177759.64654346349</v>
      </c>
      <c r="D14" s="267">
        <v>14.6</v>
      </c>
      <c r="E14" s="156">
        <v>24550.036211203216</v>
      </c>
      <c r="F14" s="156">
        <v>267945.60642526665</v>
      </c>
      <c r="G14" s="255">
        <v>2.2000000000000002</v>
      </c>
      <c r="H14" s="155">
        <v>34367.685164134527</v>
      </c>
      <c r="I14" s="156">
        <v>374202.84847519355</v>
      </c>
      <c r="J14" s="255">
        <v>1.4</v>
      </c>
    </row>
    <row r="15" spans="1:10" ht="12.65" customHeight="1">
      <c r="A15" s="154">
        <v>10</v>
      </c>
      <c r="B15" s="155">
        <v>15230.587270972066</v>
      </c>
      <c r="C15" s="156">
        <v>166780.07954346351</v>
      </c>
      <c r="D15" s="267">
        <v>12.8</v>
      </c>
      <c r="E15" s="156">
        <v>27336.441293310196</v>
      </c>
      <c r="F15" s="156">
        <v>298360.12842526665</v>
      </c>
      <c r="G15" s="255">
        <v>0.3</v>
      </c>
      <c r="H15" s="155">
        <v>36495.974042336689</v>
      </c>
      <c r="I15" s="156">
        <v>397365.91447519354</v>
      </c>
      <c r="J15" s="255">
        <v>0.3</v>
      </c>
    </row>
    <row r="16" spans="1:10" ht="12.65" customHeight="1">
      <c r="A16" s="154">
        <v>11</v>
      </c>
      <c r="B16" s="155">
        <v>16766.223035748571</v>
      </c>
      <c r="C16" s="156">
        <v>183597.84454346349</v>
      </c>
      <c r="D16" s="267">
        <v>7.9</v>
      </c>
      <c r="E16" s="156">
        <v>32922.608924283675</v>
      </c>
      <c r="F16" s="156">
        <v>359307.75142526662</v>
      </c>
      <c r="G16" s="255">
        <v>0.1</v>
      </c>
      <c r="H16" s="155">
        <v>37355.172306785113</v>
      </c>
      <c r="I16" s="156">
        <v>406758.12947519356</v>
      </c>
      <c r="J16" s="255">
        <v>-0.3</v>
      </c>
    </row>
    <row r="17" spans="1:10" ht="12.65" customHeight="1">
      <c r="A17" s="154">
        <v>12</v>
      </c>
      <c r="B17" s="155">
        <v>15360.793254522951</v>
      </c>
      <c r="C17" s="156">
        <v>168204.82154346351</v>
      </c>
      <c r="D17" s="267">
        <v>7.5</v>
      </c>
      <c r="E17" s="156">
        <v>34826.663885530506</v>
      </c>
      <c r="F17" s="156">
        <v>380170.07042526663</v>
      </c>
      <c r="G17" s="255">
        <v>0.4</v>
      </c>
      <c r="H17" s="155">
        <v>38118.645015085851</v>
      </c>
      <c r="I17" s="156">
        <v>415039.84047519357</v>
      </c>
      <c r="J17" s="255">
        <v>-0.8</v>
      </c>
    </row>
    <row r="18" spans="1:10" ht="12.65" customHeight="1">
      <c r="A18" s="154">
        <v>13</v>
      </c>
      <c r="B18" s="155">
        <v>16376.818093604576</v>
      </c>
      <c r="C18" s="156">
        <v>179328.4475434635</v>
      </c>
      <c r="D18" s="268">
        <v>9.1</v>
      </c>
      <c r="E18" s="156">
        <v>34072.38892552114</v>
      </c>
      <c r="F18" s="156">
        <v>371905.34342526662</v>
      </c>
      <c r="G18" s="256">
        <v>0.9</v>
      </c>
      <c r="H18" s="155">
        <v>36699.182220668343</v>
      </c>
      <c r="I18" s="156">
        <v>399573.16547519359</v>
      </c>
      <c r="J18" s="256">
        <v>-1.1000000000000001</v>
      </c>
    </row>
    <row r="19" spans="1:10" ht="12.65" customHeight="1">
      <c r="A19" s="154">
        <v>14</v>
      </c>
      <c r="B19" s="155">
        <v>20061.405515756964</v>
      </c>
      <c r="C19" s="156">
        <v>219713.44554346349</v>
      </c>
      <c r="D19" s="268">
        <v>7.7</v>
      </c>
      <c r="E19" s="156">
        <v>31915.109446616716</v>
      </c>
      <c r="F19" s="156">
        <v>348346.53342526662</v>
      </c>
      <c r="G19" s="256">
        <v>3.4</v>
      </c>
      <c r="H19" s="155">
        <v>32034.752678108198</v>
      </c>
      <c r="I19" s="156">
        <v>348782.19147519354</v>
      </c>
      <c r="J19" s="256">
        <v>-0.2</v>
      </c>
    </row>
    <row r="20" spans="1:10" ht="12.65" customHeight="1">
      <c r="A20" s="154">
        <v>15</v>
      </c>
      <c r="B20" s="155">
        <v>20814.605579913416</v>
      </c>
      <c r="C20" s="156">
        <v>227927.77954346349</v>
      </c>
      <c r="D20" s="268">
        <v>6.2</v>
      </c>
      <c r="E20" s="156">
        <v>28174.888650537221</v>
      </c>
      <c r="F20" s="156">
        <v>307531.29542526661</v>
      </c>
      <c r="G20" s="256">
        <v>5</v>
      </c>
      <c r="H20" s="155">
        <v>30278.95228712845</v>
      </c>
      <c r="I20" s="156">
        <v>329669.00547519355</v>
      </c>
      <c r="J20" s="256">
        <v>2.2000000000000002</v>
      </c>
    </row>
    <row r="21" spans="1:10" ht="12.65" customHeight="1">
      <c r="A21" s="154">
        <v>16</v>
      </c>
      <c r="B21" s="155">
        <v>19804.74900344912</v>
      </c>
      <c r="C21" s="156">
        <v>216868.44554346349</v>
      </c>
      <c r="D21" s="268">
        <v>8.1</v>
      </c>
      <c r="E21" s="156">
        <v>23382.285263867168</v>
      </c>
      <c r="F21" s="156">
        <v>255212.66842526666</v>
      </c>
      <c r="G21" s="256">
        <v>3.7</v>
      </c>
      <c r="H21" s="155">
        <v>29806.953791316213</v>
      </c>
      <c r="I21" s="156">
        <v>324531.73347519356</v>
      </c>
      <c r="J21" s="256">
        <v>6.5</v>
      </c>
    </row>
    <row r="22" spans="1:10" ht="12.65" customHeight="1">
      <c r="A22" s="154">
        <v>17</v>
      </c>
      <c r="B22" s="155">
        <v>18990.53953503762</v>
      </c>
      <c r="C22" s="156">
        <v>207952.3305434635</v>
      </c>
      <c r="D22" s="268">
        <v>10.4</v>
      </c>
      <c r="E22" s="156">
        <v>26834.040935796289</v>
      </c>
      <c r="F22" s="156">
        <v>292892.11342526664</v>
      </c>
      <c r="G22" s="256">
        <v>3.2</v>
      </c>
      <c r="H22" s="155">
        <v>27281.907981983913</v>
      </c>
      <c r="I22" s="156">
        <v>297051.13947519357</v>
      </c>
      <c r="J22" s="256">
        <v>6.4</v>
      </c>
    </row>
    <row r="23" spans="1:10" ht="12.65" customHeight="1">
      <c r="A23" s="154">
        <v>18</v>
      </c>
      <c r="B23" s="155">
        <v>17018.976439422524</v>
      </c>
      <c r="C23" s="257">
        <v>186371.97854346351</v>
      </c>
      <c r="D23" s="269">
        <v>11.4</v>
      </c>
      <c r="E23" s="156">
        <v>31324.204820636074</v>
      </c>
      <c r="F23" s="257">
        <v>341906.47242526663</v>
      </c>
      <c r="G23" s="258">
        <v>2.8</v>
      </c>
      <c r="H23" s="155">
        <v>27190.480406317038</v>
      </c>
      <c r="I23" s="257">
        <v>296053.59147519356</v>
      </c>
      <c r="J23" s="258">
        <v>5.0999999999999996</v>
      </c>
    </row>
    <row r="24" spans="1:10" ht="12.65" customHeight="1">
      <c r="A24" s="154">
        <v>19</v>
      </c>
      <c r="B24" s="155">
        <v>15272.925981801462</v>
      </c>
      <c r="C24" s="257">
        <v>167250.92854346349</v>
      </c>
      <c r="D24" s="269">
        <v>9.6999999999999993</v>
      </c>
      <c r="E24" s="156">
        <v>29609.476045350384</v>
      </c>
      <c r="F24" s="257">
        <v>323183.58242526662</v>
      </c>
      <c r="G24" s="258">
        <v>6.5</v>
      </c>
      <c r="H24" s="155">
        <v>25834.29238742519</v>
      </c>
      <c r="I24" s="257">
        <v>281290.65247519355</v>
      </c>
      <c r="J24" s="258">
        <v>6.3</v>
      </c>
    </row>
    <row r="25" spans="1:10" ht="12.65" customHeight="1">
      <c r="A25" s="154">
        <v>20</v>
      </c>
      <c r="B25" s="155">
        <v>16151.726641699708</v>
      </c>
      <c r="C25" s="156">
        <v>176872.23054346349</v>
      </c>
      <c r="D25" s="268">
        <v>9</v>
      </c>
      <c r="E25" s="156">
        <v>32112.269440029424</v>
      </c>
      <c r="F25" s="156">
        <v>350494.59242526663</v>
      </c>
      <c r="G25" s="256">
        <v>1.2</v>
      </c>
      <c r="H25" s="155">
        <v>26387.054151338154</v>
      </c>
      <c r="I25" s="156">
        <v>287310.32147519354</v>
      </c>
      <c r="J25" s="256">
        <v>2.6</v>
      </c>
    </row>
    <row r="26" spans="1:10" ht="12.65" customHeight="1">
      <c r="A26" s="154">
        <v>21</v>
      </c>
      <c r="B26" s="155">
        <v>19803.268985607359</v>
      </c>
      <c r="C26" s="156">
        <v>216859.49154346349</v>
      </c>
      <c r="D26" s="268">
        <v>9.9</v>
      </c>
      <c r="E26" s="156">
        <v>33798.683186206639</v>
      </c>
      <c r="F26" s="156">
        <v>368904.11542526662</v>
      </c>
      <c r="G26" s="256">
        <v>-0.1</v>
      </c>
      <c r="H26" s="155">
        <v>24982.25238869058</v>
      </c>
      <c r="I26" s="156">
        <v>272018.28147519357</v>
      </c>
      <c r="J26" s="256">
        <v>1.8</v>
      </c>
    </row>
    <row r="27" spans="1:10" ht="12.65" customHeight="1">
      <c r="A27" s="154">
        <v>22</v>
      </c>
      <c r="B27" s="155">
        <v>20303.322384339161</v>
      </c>
      <c r="C27" s="156">
        <v>222362.34854346351</v>
      </c>
      <c r="D27" s="268">
        <v>10.5</v>
      </c>
      <c r="E27" s="156">
        <v>33742.532343495499</v>
      </c>
      <c r="F27" s="156">
        <v>368309.68442526663</v>
      </c>
      <c r="G27" s="256">
        <v>-0.6</v>
      </c>
      <c r="H27" s="155">
        <v>25015.237998466229</v>
      </c>
      <c r="I27" s="156">
        <v>272377.91447519354</v>
      </c>
      <c r="J27" s="256">
        <v>2.7</v>
      </c>
    </row>
    <row r="28" spans="1:10" ht="12.65" customHeight="1">
      <c r="A28" s="154">
        <v>23</v>
      </c>
      <c r="B28" s="265">
        <v>20767.30974118867</v>
      </c>
      <c r="C28" s="259">
        <v>227448.2925434635</v>
      </c>
      <c r="D28" s="267">
        <v>9.1</v>
      </c>
      <c r="E28" s="259">
        <v>28860.603085542905</v>
      </c>
      <c r="F28" s="259">
        <v>315003.08142526663</v>
      </c>
      <c r="G28" s="255">
        <v>0.1</v>
      </c>
      <c r="H28" s="265">
        <v>26534.959947747942</v>
      </c>
      <c r="I28" s="259">
        <v>288920.28147519357</v>
      </c>
      <c r="J28" s="255">
        <v>0.7</v>
      </c>
    </row>
    <row r="29" spans="1:10" ht="12.65" customHeight="1">
      <c r="A29" s="154">
        <v>24</v>
      </c>
      <c r="B29" s="266">
        <v>20168.442268111223</v>
      </c>
      <c r="C29" s="260">
        <v>220872.32554346349</v>
      </c>
      <c r="D29" s="267">
        <v>9.8000000000000007</v>
      </c>
      <c r="E29" s="260">
        <v>28846.07716330111</v>
      </c>
      <c r="F29" s="260">
        <v>314838.7364252666</v>
      </c>
      <c r="G29" s="255">
        <v>3.9</v>
      </c>
      <c r="H29" s="266">
        <v>25462.935211100244</v>
      </c>
      <c r="I29" s="260">
        <v>277250.44147519354</v>
      </c>
      <c r="J29" s="255">
        <v>1.4</v>
      </c>
    </row>
    <row r="30" spans="1:10" ht="12.65" customHeight="1">
      <c r="A30" s="154">
        <v>25</v>
      </c>
      <c r="B30" s="155">
        <v>18761.108272386675</v>
      </c>
      <c r="C30" s="156">
        <v>205453.0995434635</v>
      </c>
      <c r="D30" s="268">
        <v>10.4</v>
      </c>
      <c r="E30" s="156">
        <v>30752.049675512557</v>
      </c>
      <c r="F30" s="156">
        <v>335647.41342526663</v>
      </c>
      <c r="G30" s="256">
        <v>4</v>
      </c>
      <c r="H30" s="155">
        <v>26445.13711602848</v>
      </c>
      <c r="I30" s="156">
        <v>287943.20547519356</v>
      </c>
      <c r="J30" s="256">
        <v>-0.7</v>
      </c>
    </row>
    <row r="31" spans="1:10" ht="12.65" customHeight="1">
      <c r="A31" s="154">
        <v>26</v>
      </c>
      <c r="B31" s="155">
        <v>15703.398122450773</v>
      </c>
      <c r="C31" s="156">
        <v>171953.9385434635</v>
      </c>
      <c r="D31" s="268">
        <v>11.2</v>
      </c>
      <c r="E31" s="156">
        <v>32224.894683524595</v>
      </c>
      <c r="F31" s="156">
        <v>351779.28242526663</v>
      </c>
      <c r="G31" s="256">
        <v>4.2</v>
      </c>
      <c r="H31" s="155">
        <v>28903.792277649049</v>
      </c>
      <c r="I31" s="156">
        <v>314711.10947519355</v>
      </c>
      <c r="J31" s="256">
        <v>-2.2000000000000002</v>
      </c>
    </row>
    <row r="32" spans="1:10" ht="12.65" customHeight="1">
      <c r="A32" s="154">
        <v>27</v>
      </c>
      <c r="B32" s="155">
        <v>15064.493233404173</v>
      </c>
      <c r="C32" s="156">
        <v>164969.56254346349</v>
      </c>
      <c r="D32" s="268">
        <v>11.5</v>
      </c>
      <c r="E32" s="156">
        <v>31792.723585313401</v>
      </c>
      <c r="F32" s="156">
        <v>346982.91942526662</v>
      </c>
      <c r="G32" s="256">
        <v>3.2</v>
      </c>
      <c r="H32" s="155">
        <v>30411.687167801309</v>
      </c>
      <c r="I32" s="156">
        <v>331126.71847519354</v>
      </c>
      <c r="J32" s="256">
        <v>-1.5</v>
      </c>
    </row>
    <row r="33" spans="1:15" ht="12.65" customHeight="1">
      <c r="A33" s="154">
        <v>28</v>
      </c>
      <c r="B33" s="155">
        <v>16810.047470805275</v>
      </c>
      <c r="C33" s="156">
        <v>184076.60954346351</v>
      </c>
      <c r="D33" s="268">
        <v>11.6</v>
      </c>
      <c r="E33" s="156">
        <v>31255.374060799448</v>
      </c>
      <c r="F33" s="156">
        <v>341145.08842526661</v>
      </c>
      <c r="G33" s="256">
        <v>5.0999999999999996</v>
      </c>
      <c r="H33" s="155">
        <v>29651.991547474045</v>
      </c>
      <c r="I33" s="156">
        <v>322855.69847519358</v>
      </c>
      <c r="J33" s="256">
        <v>-1.3</v>
      </c>
    </row>
    <row r="34" spans="1:15" ht="12.65" customHeight="1">
      <c r="A34" s="154">
        <v>29</v>
      </c>
      <c r="B34" s="155">
        <v>19872.535517018765</v>
      </c>
      <c r="C34" s="156">
        <v>217627.29154346351</v>
      </c>
      <c r="D34" s="268">
        <v>10.7</v>
      </c>
      <c r="E34" s="156">
        <v>30604.41410473553</v>
      </c>
      <c r="F34" s="156">
        <v>334035.60942526662</v>
      </c>
      <c r="G34" s="256">
        <v>2.8</v>
      </c>
      <c r="H34" s="155">
        <v>30165.062057031064</v>
      </c>
      <c r="I34" s="156">
        <v>328440.01947519358</v>
      </c>
      <c r="J34" s="256">
        <v>-1.9</v>
      </c>
    </row>
    <row r="35" spans="1:15" ht="12.65" customHeight="1">
      <c r="A35" s="154">
        <v>30</v>
      </c>
      <c r="B35" s="155">
        <v>19996.523108511799</v>
      </c>
      <c r="C35" s="156">
        <v>218986.35554346349</v>
      </c>
      <c r="D35" s="268">
        <v>11</v>
      </c>
      <c r="E35" s="156">
        <v>27302.083318733818</v>
      </c>
      <c r="F35" s="156">
        <v>297990.91242526664</v>
      </c>
      <c r="G35" s="256">
        <v>0.4</v>
      </c>
      <c r="H35" s="155">
        <v>31589.867288415579</v>
      </c>
      <c r="I35" s="156">
        <v>343948.53247519356</v>
      </c>
      <c r="J35" s="256">
        <v>-2.4</v>
      </c>
    </row>
    <row r="36" spans="1:15" ht="12.65" customHeight="1">
      <c r="A36" s="159">
        <v>31</v>
      </c>
      <c r="B36" s="160">
        <v>18358.267954488692</v>
      </c>
      <c r="C36" s="161">
        <v>201033.5425434635</v>
      </c>
      <c r="D36" s="270">
        <v>9.1999999999999993</v>
      </c>
      <c r="E36" s="161"/>
      <c r="F36" s="161"/>
      <c r="G36" s="262"/>
      <c r="H36" s="160">
        <v>32298.266657367396</v>
      </c>
      <c r="I36" s="161">
        <v>351655.63147519354</v>
      </c>
      <c r="J36" s="262">
        <v>-2.6</v>
      </c>
    </row>
    <row r="37" spans="1:15" ht="12.65" customHeight="1">
      <c r="A37" s="263" t="s">
        <v>0</v>
      </c>
      <c r="B37" s="169">
        <f>SUM(B6:B36)</f>
        <v>555181.6252623396</v>
      </c>
      <c r="C37" s="170">
        <f>SUM(C6:C36)</f>
        <v>6079593.2658473672</v>
      </c>
      <c r="D37" s="271">
        <f>AVERAGE(D6:D36)</f>
        <v>9.9064516129032238</v>
      </c>
      <c r="E37" s="170">
        <f>SUM(E6:E36)</f>
        <v>865477.45273181947</v>
      </c>
      <c r="F37" s="170">
        <f>SUM(F6:F36)</f>
        <v>9446820.7947579995</v>
      </c>
      <c r="G37" s="264">
        <f>AVERAGE(G6:G36)</f>
        <v>2.9600000000000004</v>
      </c>
      <c r="H37" s="169">
        <f>SUM(H6:H36)</f>
        <v>949243.70870291069</v>
      </c>
      <c r="I37" s="170">
        <f>SUM(I6:I36)</f>
        <v>10335768.853731001</v>
      </c>
      <c r="J37" s="264">
        <f>AVERAGE(J6:J36)</f>
        <v>1.0193548387096774</v>
      </c>
      <c r="M37" s="41"/>
      <c r="N37" s="41"/>
      <c r="O37" s="77"/>
    </row>
    <row r="38" spans="1:15" ht="13" customHeight="1">
      <c r="A38" s="154" t="s">
        <v>175</v>
      </c>
      <c r="B38" s="155">
        <f>MAX(B6:B36)</f>
        <v>20814.605579913416</v>
      </c>
      <c r="C38" s="156">
        <f>MAX(C6:C36)</f>
        <v>227927.77954346349</v>
      </c>
      <c r="D38" s="268">
        <f>VLOOKUP(B38,$B$6:$D$36,3,FALSE)</f>
        <v>6.2</v>
      </c>
      <c r="E38" s="156">
        <f>MAX(E6:E36)</f>
        <v>34826.663885530506</v>
      </c>
      <c r="F38" s="156">
        <f>MAX(F6:F36)</f>
        <v>380170.07042526663</v>
      </c>
      <c r="G38" s="256">
        <f>VLOOKUP(E38,$E$6:$G$36,3,FALSE)</f>
        <v>0.4</v>
      </c>
      <c r="H38" s="155">
        <f>MAX(H6:H36)</f>
        <v>38118.645015085851</v>
      </c>
      <c r="I38" s="156">
        <f>MAX(I6:I36)</f>
        <v>415039.84047519357</v>
      </c>
      <c r="J38" s="256">
        <f>VLOOKUP(H38,$H$6:$J$36,3,FALSE)</f>
        <v>-0.8</v>
      </c>
    </row>
    <row r="39" spans="1:15" ht="13" customHeight="1">
      <c r="A39" s="154" t="s">
        <v>176</v>
      </c>
      <c r="B39" s="155">
        <f>MIN(B6:B36)</f>
        <v>15064.493233404173</v>
      </c>
      <c r="C39" s="156">
        <f>MIN(C6:C36)</f>
        <v>164969.56254346349</v>
      </c>
      <c r="D39" s="268">
        <f>VLOOKUP(B39,$B$6:$D$36,3,FALSE)</f>
        <v>11.5</v>
      </c>
      <c r="E39" s="156">
        <f>MIN(E6:E36)</f>
        <v>18508.679099057139</v>
      </c>
      <c r="F39" s="156">
        <f>MIN(F6:F36)</f>
        <v>202026.72642526665</v>
      </c>
      <c r="G39" s="256">
        <f>VLOOKUP(E39,$E$6:$G$36,3,FALSE)</f>
        <v>7.5</v>
      </c>
      <c r="H39" s="155">
        <f>MIN(H6:H36)</f>
        <v>24982.25238869058</v>
      </c>
      <c r="I39" s="156">
        <f>MIN(I6:I36)</f>
        <v>272018.28147519357</v>
      </c>
      <c r="J39" s="256">
        <f>VLOOKUP(H39,$H$6:$J$36,3,FALSE)</f>
        <v>1.8</v>
      </c>
    </row>
    <row r="40" spans="1:15" ht="13" customHeight="1">
      <c r="A40" s="159" t="s">
        <v>177</v>
      </c>
      <c r="B40" s="160">
        <f t="shared" ref="B40:J40" si="0">AVERAGE(B6:B36)</f>
        <v>17909.084685881924</v>
      </c>
      <c r="C40" s="161">
        <f t="shared" si="0"/>
        <v>196115.91180152798</v>
      </c>
      <c r="D40" s="270">
        <f t="shared" si="0"/>
        <v>9.9064516129032238</v>
      </c>
      <c r="E40" s="161">
        <f t="shared" si="0"/>
        <v>28849.248424393983</v>
      </c>
      <c r="F40" s="161">
        <f>AVERAGE(F6:F36)</f>
        <v>314894.02649193333</v>
      </c>
      <c r="G40" s="262">
        <f>AVERAGE(G6:G36)</f>
        <v>2.9600000000000004</v>
      </c>
      <c r="H40" s="160">
        <f>AVERAGE(H6:H36)</f>
        <v>30620.764796868087</v>
      </c>
      <c r="I40" s="161">
        <f t="shared" si="0"/>
        <v>333411.89850745164</v>
      </c>
      <c r="J40" s="262">
        <f t="shared" si="0"/>
        <v>1.0193548387096774</v>
      </c>
    </row>
    <row r="41" spans="1:15" ht="15" customHeight="1">
      <c r="A41" s="43"/>
      <c r="B41" s="459" t="str">
        <f>B3</f>
        <v>Říjen</v>
      </c>
      <c r="C41" s="460"/>
      <c r="D41" s="461"/>
      <c r="E41" s="459" t="str">
        <f>E3</f>
        <v>Listopad</v>
      </c>
      <c r="F41" s="460"/>
      <c r="G41" s="461"/>
      <c r="H41" s="459" t="str">
        <f>H3</f>
        <v>Prosinec</v>
      </c>
      <c r="I41" s="460"/>
      <c r="J41" s="460"/>
    </row>
    <row r="42" spans="1:15" ht="15" customHeight="1">
      <c r="A42" s="43"/>
      <c r="B42" s="298" t="s">
        <v>265</v>
      </c>
      <c r="C42" s="79"/>
      <c r="D42" s="296"/>
      <c r="E42" s="298" t="s">
        <v>265</v>
      </c>
      <c r="F42" s="79"/>
      <c r="G42" s="79"/>
      <c r="H42" s="298" t="s">
        <v>265</v>
      </c>
      <c r="I42" s="79"/>
      <c r="J42" s="79"/>
    </row>
    <row r="43" spans="1:15" ht="21" customHeight="1">
      <c r="A43" s="43"/>
      <c r="B43" s="292"/>
      <c r="C43" s="79"/>
      <c r="D43" s="296"/>
      <c r="E43" s="79"/>
      <c r="F43" s="79"/>
      <c r="G43" s="79"/>
      <c r="H43" s="292"/>
      <c r="I43" s="79"/>
      <c r="J43" s="79"/>
    </row>
    <row r="44" spans="1:15" ht="21" customHeight="1">
      <c r="B44" s="292"/>
      <c r="C44" s="79"/>
      <c r="D44" s="296"/>
      <c r="E44" s="79"/>
      <c r="F44" s="79"/>
      <c r="G44" s="79"/>
      <c r="H44" s="292"/>
      <c r="I44" s="79"/>
      <c r="J44" s="79"/>
    </row>
    <row r="45" spans="1:15" ht="21" customHeight="1">
      <c r="B45" s="293" t="s">
        <v>263</v>
      </c>
      <c r="C45" s="81">
        <f>B38</f>
        <v>20814.605579913416</v>
      </c>
      <c r="D45" s="296"/>
      <c r="E45" s="80" t="s">
        <v>263</v>
      </c>
      <c r="F45" s="81">
        <f>E38</f>
        <v>34826.663885530506</v>
      </c>
      <c r="G45" s="79"/>
      <c r="H45" s="293" t="s">
        <v>263</v>
      </c>
      <c r="I45" s="81">
        <f>H38</f>
        <v>38118.645015085851</v>
      </c>
      <c r="J45" s="79"/>
    </row>
    <row r="46" spans="1:15" ht="21" customHeight="1">
      <c r="B46" s="294" t="s">
        <v>264</v>
      </c>
      <c r="C46" s="81">
        <f t="shared" ref="C46:C47" si="1">B39</f>
        <v>15064.493233404173</v>
      </c>
      <c r="D46" s="296"/>
      <c r="E46" s="82" t="s">
        <v>264</v>
      </c>
      <c r="F46" s="81">
        <f t="shared" ref="F46:F47" si="2">E39</f>
        <v>18508.679099057139</v>
      </c>
      <c r="G46" s="79"/>
      <c r="H46" s="294" t="s">
        <v>264</v>
      </c>
      <c r="I46" s="81">
        <f t="shared" ref="I46:I47" si="3">H39</f>
        <v>24982.25238869058</v>
      </c>
      <c r="J46" s="79"/>
    </row>
    <row r="47" spans="1:15" ht="21" customHeight="1">
      <c r="B47" s="294" t="s">
        <v>62</v>
      </c>
      <c r="C47" s="81">
        <f t="shared" si="1"/>
        <v>17909.084685881924</v>
      </c>
      <c r="D47" s="296"/>
      <c r="E47" s="82" t="s">
        <v>62</v>
      </c>
      <c r="F47" s="81">
        <f t="shared" si="2"/>
        <v>28849.248424393983</v>
      </c>
      <c r="G47" s="79"/>
      <c r="H47" s="294" t="s">
        <v>62</v>
      </c>
      <c r="I47" s="81">
        <f t="shared" si="3"/>
        <v>30620.764796868087</v>
      </c>
      <c r="J47" s="79"/>
    </row>
    <row r="48" spans="1:15" ht="21" customHeight="1">
      <c r="B48" s="292"/>
      <c r="C48" s="79"/>
      <c r="D48" s="296"/>
      <c r="E48" s="79"/>
      <c r="F48" s="79"/>
      <c r="G48" s="79"/>
      <c r="H48" s="292"/>
      <c r="I48" s="79"/>
      <c r="J48" s="79"/>
    </row>
    <row r="49" spans="1:10" ht="21" customHeight="1">
      <c r="B49" s="292"/>
      <c r="C49" s="79"/>
      <c r="D49" s="296"/>
      <c r="E49" s="79"/>
      <c r="F49" s="79"/>
      <c r="G49" s="79"/>
      <c r="H49" s="292"/>
      <c r="I49" s="79"/>
      <c r="J49" s="79"/>
    </row>
    <row r="50" spans="1:10" ht="21" customHeight="1">
      <c r="B50" s="292"/>
      <c r="C50" s="79"/>
      <c r="D50" s="296"/>
      <c r="E50" s="79"/>
      <c r="F50" s="79"/>
      <c r="G50" s="79"/>
      <c r="H50" s="292"/>
      <c r="I50" s="79"/>
      <c r="J50" s="79"/>
    </row>
    <row r="51" spans="1:10" ht="21" customHeight="1">
      <c r="A51" s="279"/>
      <c r="B51" s="295"/>
      <c r="C51" s="279"/>
      <c r="D51" s="297"/>
      <c r="E51" s="279"/>
      <c r="F51" s="279"/>
      <c r="G51" s="279"/>
      <c r="H51" s="295"/>
      <c r="I51" s="279"/>
      <c r="J51" s="279"/>
    </row>
    <row r="52" spans="1:10" ht="12.75" customHeight="1">
      <c r="A52" s="132" t="s">
        <v>178</v>
      </c>
      <c r="B52" s="282">
        <v>850.41484507947871</v>
      </c>
      <c r="C52" s="283">
        <v>9312.5855216817927</v>
      </c>
      <c r="D52" s="288" t="s">
        <v>204</v>
      </c>
      <c r="E52" s="41">
        <v>1375.1633362855071</v>
      </c>
      <c r="F52" s="41">
        <v>15010.121361805303</v>
      </c>
      <c r="G52" s="274" t="s">
        <v>204</v>
      </c>
      <c r="H52" s="282">
        <v>1166.9606606249013</v>
      </c>
      <c r="I52" s="283">
        <v>12706.363538713893</v>
      </c>
      <c r="J52" s="284" t="s">
        <v>204</v>
      </c>
    </row>
    <row r="53" spans="1:10" ht="13" customHeight="1">
      <c r="A53" s="276" t="s">
        <v>179</v>
      </c>
      <c r="B53" s="285">
        <v>449.45280864665267</v>
      </c>
      <c r="C53" s="277">
        <v>4921.7952187686205</v>
      </c>
      <c r="D53" s="289" t="s">
        <v>204</v>
      </c>
      <c r="E53" s="277">
        <v>1263.6491702353378</v>
      </c>
      <c r="F53" s="277">
        <v>13792.926922565228</v>
      </c>
      <c r="G53" s="278" t="s">
        <v>204</v>
      </c>
      <c r="H53" s="285">
        <v>840.61004028053833</v>
      </c>
      <c r="I53" s="277">
        <v>9152.919311245485</v>
      </c>
      <c r="J53" s="278" t="s">
        <v>204</v>
      </c>
    </row>
    <row r="54" spans="1:10" ht="13" customHeight="1">
      <c r="A54" s="275" t="s">
        <v>180</v>
      </c>
      <c r="B54" s="286">
        <v>23286.133458694545</v>
      </c>
      <c r="C54" s="83">
        <v>254998.02897152139</v>
      </c>
      <c r="D54" s="290">
        <v>0</v>
      </c>
      <c r="E54" s="83">
        <v>34355.053270059165</v>
      </c>
      <c r="F54" s="83">
        <v>374990.74136733066</v>
      </c>
      <c r="G54" s="251">
        <v>0</v>
      </c>
      <c r="H54" s="286">
        <v>33351.247950723933</v>
      </c>
      <c r="I54" s="83">
        <v>363142.55932565604</v>
      </c>
      <c r="J54" s="251">
        <v>0</v>
      </c>
    </row>
    <row r="55" spans="1:10" ht="13" customHeight="1">
      <c r="A55" s="276" t="s">
        <v>181</v>
      </c>
      <c r="B55" s="287">
        <v>28679.567162454376</v>
      </c>
      <c r="C55" s="280">
        <v>314059.57159674482</v>
      </c>
      <c r="D55" s="291">
        <v>-12</v>
      </c>
      <c r="E55" s="280">
        <v>49518.843312883218</v>
      </c>
      <c r="F55" s="280">
        <v>540505.86443811329</v>
      </c>
      <c r="G55" s="281">
        <v>-12</v>
      </c>
      <c r="H55" s="287">
        <v>43438.56843409039</v>
      </c>
      <c r="I55" s="280">
        <v>472977.59106060193</v>
      </c>
      <c r="J55" s="281">
        <v>-12</v>
      </c>
    </row>
  </sheetData>
  <mergeCells count="10">
    <mergeCell ref="B41:D41"/>
    <mergeCell ref="E41:G41"/>
    <mergeCell ref="H41:J41"/>
    <mergeCell ref="A1:J1"/>
    <mergeCell ref="E3:G3"/>
    <mergeCell ref="H3:J3"/>
    <mergeCell ref="B3:D3"/>
    <mergeCell ref="B4:C4"/>
    <mergeCell ref="E4:F4"/>
    <mergeCell ref="H4:I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D37:D3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3"/>
  <dimension ref="A1:U93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2" width="9.1796875" style="85"/>
    <col min="13" max="13" width="9.1796875" style="84"/>
    <col min="14" max="14" width="11.1796875" style="84" customWidth="1"/>
    <col min="15" max="16384" width="9.1796875" style="84"/>
  </cols>
  <sheetData>
    <row r="1" spans="1:21" ht="20">
      <c r="A1" s="55" t="s">
        <v>285</v>
      </c>
    </row>
    <row r="2" spans="1:21" s="86" customFormat="1" ht="18">
      <c r="A2" s="462" t="s">
        <v>293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85"/>
      <c r="M2" s="84"/>
      <c r="N2" s="84"/>
      <c r="O2" s="84"/>
      <c r="P2" s="84"/>
      <c r="Q2" s="84"/>
      <c r="R2" s="84"/>
      <c r="S2" s="84"/>
      <c r="T2" s="84"/>
      <c r="U2" s="84"/>
    </row>
    <row r="3" spans="1:21" ht="6" customHeight="1">
      <c r="A3" s="477"/>
      <c r="B3" s="477"/>
      <c r="C3" s="477"/>
      <c r="D3" s="315"/>
      <c r="E3" s="315"/>
      <c r="F3" s="316"/>
      <c r="G3" s="317"/>
      <c r="H3" s="317"/>
      <c r="I3" s="317"/>
      <c r="J3" s="279"/>
      <c r="K3" s="279"/>
    </row>
    <row r="4" spans="1:21" ht="15" customHeight="1">
      <c r="A4" s="488" t="s">
        <v>2</v>
      </c>
      <c r="B4" s="488"/>
      <c r="C4" s="488"/>
      <c r="D4" s="482">
        <f>'3.1'!A4</f>
        <v>2024</v>
      </c>
      <c r="E4" s="483"/>
      <c r="F4" s="483"/>
      <c r="G4" s="483"/>
      <c r="H4" s="376"/>
      <c r="I4" s="482">
        <f>D4-1</f>
        <v>2023</v>
      </c>
      <c r="J4" s="483"/>
      <c r="K4" s="483"/>
    </row>
    <row r="5" spans="1:21" ht="50.15" customHeight="1">
      <c r="A5" s="322"/>
      <c r="B5" s="322"/>
      <c r="C5" s="322"/>
      <c r="D5" s="484"/>
      <c r="E5" s="485"/>
      <c r="F5" s="485"/>
      <c r="G5" s="485"/>
      <c r="H5" s="174"/>
      <c r="I5" s="484"/>
      <c r="J5" s="485"/>
      <c r="K5" s="485"/>
    </row>
    <row r="6" spans="1:21" ht="25" customHeight="1">
      <c r="A6" s="488" t="s">
        <v>157</v>
      </c>
      <c r="B6" s="488"/>
      <c r="C6" s="488" t="s">
        <v>183</v>
      </c>
      <c r="D6" s="486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21" ht="22.5" customHeight="1">
      <c r="A7" s="489"/>
      <c r="B7" s="489"/>
      <c r="C7" s="489"/>
      <c r="D7" s="487"/>
      <c r="E7" s="219" t="s">
        <v>257</v>
      </c>
      <c r="F7" s="219" t="s">
        <v>258</v>
      </c>
      <c r="G7" s="467"/>
      <c r="H7" s="467"/>
      <c r="I7" s="221" t="s">
        <v>257</v>
      </c>
      <c r="J7" s="219" t="s">
        <v>258</v>
      </c>
      <c r="K7" s="467"/>
    </row>
    <row r="8" spans="1:21" ht="13" customHeight="1">
      <c r="A8" s="472" t="str">
        <f>'3.1'!D5</f>
        <v>Říjen</v>
      </c>
      <c r="B8" s="472"/>
      <c r="C8" s="164" t="s">
        <v>4</v>
      </c>
      <c r="D8" s="312">
        <v>1524</v>
      </c>
      <c r="E8" s="308">
        <v>283663.574615744</v>
      </c>
      <c r="F8" s="308">
        <v>3106178.6017149999</v>
      </c>
      <c r="G8" s="309">
        <f t="shared" ref="G8:G13" si="0">E8/$E$14</f>
        <v>0.51093824888148898</v>
      </c>
      <c r="H8" s="309">
        <f>(E8-I8)/I8</f>
        <v>5.8160218200182537E-2</v>
      </c>
      <c r="I8" s="312">
        <v>268072.42394561518</v>
      </c>
      <c r="J8" s="308">
        <v>2941483.8696400002</v>
      </c>
      <c r="K8" s="309">
        <f>I8/$I$14</f>
        <v>0.57582931357139466</v>
      </c>
      <c r="M8" s="392"/>
      <c r="N8" s="392"/>
      <c r="O8" s="392"/>
      <c r="P8" s="392"/>
      <c r="Q8" s="392"/>
      <c r="R8" s="392"/>
      <c r="S8" s="392"/>
      <c r="T8" s="392"/>
      <c r="U8" s="392"/>
    </row>
    <row r="9" spans="1:21" ht="13" customHeight="1">
      <c r="A9" s="473"/>
      <c r="B9" s="473"/>
      <c r="C9" s="154" t="s">
        <v>5</v>
      </c>
      <c r="D9" s="313">
        <v>6027</v>
      </c>
      <c r="E9" s="129">
        <v>53001.268660586007</v>
      </c>
      <c r="F9" s="129">
        <v>580419.313035</v>
      </c>
      <c r="G9" s="307">
        <f t="shared" si="0"/>
        <v>9.5466523802433007E-2</v>
      </c>
      <c r="H9" s="307">
        <f t="shared" ref="H9:H12" si="1">(E9-I9)/I9</f>
        <v>0.25317633413572571</v>
      </c>
      <c r="I9" s="313">
        <v>42293.54418597382</v>
      </c>
      <c r="J9" s="129">
        <v>464149.26970999996</v>
      </c>
      <c r="K9" s="307">
        <f t="shared" ref="K9:K13" si="2">I9/$I$14</f>
        <v>9.0848070676794082E-2</v>
      </c>
      <c r="L9" s="90"/>
      <c r="M9" s="392"/>
      <c r="N9" s="392"/>
      <c r="O9" s="392"/>
      <c r="P9" s="392"/>
      <c r="Q9" s="392"/>
      <c r="R9" s="392"/>
      <c r="S9" s="392"/>
      <c r="T9" s="392"/>
      <c r="U9" s="392"/>
    </row>
    <row r="10" spans="1:21" ht="13" customHeight="1">
      <c r="A10" s="473"/>
      <c r="B10" s="473"/>
      <c r="C10" s="154" t="s">
        <v>6</v>
      </c>
      <c r="D10" s="313">
        <v>200974</v>
      </c>
      <c r="E10" s="129">
        <v>75979.723827623995</v>
      </c>
      <c r="F10" s="129">
        <v>831951.87091883097</v>
      </c>
      <c r="G10" s="307">
        <f t="shared" si="0"/>
        <v>0.1368555941508279</v>
      </c>
      <c r="H10" s="307">
        <f t="shared" si="1"/>
        <v>0.46035119327805096</v>
      </c>
      <c r="I10" s="313">
        <v>52028.391648088618</v>
      </c>
      <c r="J10" s="129">
        <v>570930.89633785805</v>
      </c>
      <c r="K10" s="307">
        <f t="shared" si="2"/>
        <v>0.11175887697803837</v>
      </c>
      <c r="L10" s="90"/>
      <c r="M10" s="392"/>
      <c r="N10" s="392"/>
      <c r="O10" s="392"/>
      <c r="P10" s="392"/>
      <c r="Q10" s="392"/>
      <c r="R10" s="392"/>
      <c r="S10" s="392"/>
      <c r="T10" s="392"/>
      <c r="U10" s="392"/>
    </row>
    <row r="11" spans="1:21" ht="13" customHeight="1">
      <c r="A11" s="473"/>
      <c r="B11" s="473"/>
      <c r="C11" s="154" t="s">
        <v>7</v>
      </c>
      <c r="D11" s="313">
        <v>2520814</v>
      </c>
      <c r="E11" s="129">
        <v>129272.41965188298</v>
      </c>
      <c r="F11" s="129">
        <v>1415652.9937460921</v>
      </c>
      <c r="G11" s="307">
        <f t="shared" si="0"/>
        <v>0.23284704007230733</v>
      </c>
      <c r="H11" s="307">
        <f t="shared" si="1"/>
        <v>0.43870651981973707</v>
      </c>
      <c r="I11" s="313">
        <v>89853.224317131884</v>
      </c>
      <c r="J11" s="129">
        <v>986077.78617914417</v>
      </c>
      <c r="K11" s="307">
        <f t="shared" si="2"/>
        <v>0.19300799283706743</v>
      </c>
      <c r="L11" s="90"/>
      <c r="M11" s="392"/>
      <c r="N11" s="392"/>
      <c r="O11" s="392"/>
      <c r="P11" s="392"/>
      <c r="Q11" s="392"/>
      <c r="R11" s="392"/>
      <c r="S11" s="392"/>
      <c r="T11" s="392"/>
      <c r="U11" s="392"/>
    </row>
    <row r="12" spans="1:21" ht="13" customHeight="1">
      <c r="A12" s="473"/>
      <c r="B12" s="473"/>
      <c r="C12" s="154" t="s">
        <v>92</v>
      </c>
      <c r="D12" s="313">
        <v>282</v>
      </c>
      <c r="E12" s="129">
        <v>8026.3322786769995</v>
      </c>
      <c r="F12" s="129">
        <v>87860.087651999987</v>
      </c>
      <c r="G12" s="307">
        <f t="shared" si="0"/>
        <v>1.4457126421548607E-2</v>
      </c>
      <c r="H12" s="307">
        <f t="shared" si="1"/>
        <v>3.6049542133473902E-2</v>
      </c>
      <c r="I12" s="313">
        <v>7747.0545106837853</v>
      </c>
      <c r="J12" s="129">
        <v>85007.189199999993</v>
      </c>
      <c r="K12" s="307">
        <f t="shared" si="2"/>
        <v>1.6640954766732129E-2</v>
      </c>
      <c r="L12" s="90"/>
      <c r="M12" s="392"/>
      <c r="N12" s="392"/>
      <c r="O12" s="392"/>
      <c r="P12" s="392"/>
      <c r="Q12" s="392"/>
      <c r="R12" s="392"/>
      <c r="S12" s="392"/>
      <c r="T12" s="392"/>
      <c r="U12" s="392"/>
    </row>
    <row r="13" spans="1:21" ht="13" customHeight="1">
      <c r="A13" s="473"/>
      <c r="B13" s="473"/>
      <c r="C13" s="154" t="s">
        <v>93</v>
      </c>
      <c r="D13" s="313"/>
      <c r="E13" s="129">
        <v>5238.3985932439991</v>
      </c>
      <c r="F13" s="129">
        <v>57530.277567369005</v>
      </c>
      <c r="G13" s="307">
        <f t="shared" si="0"/>
        <v>9.4354666713940237E-3</v>
      </c>
      <c r="H13" s="307">
        <f>(E13-I13)/I13</f>
        <v>-5.5604879474776527E-2</v>
      </c>
      <c r="I13" s="313">
        <v>5546.829371937748</v>
      </c>
      <c r="J13" s="129">
        <v>61000.470352599994</v>
      </c>
      <c r="K13" s="307">
        <f t="shared" si="2"/>
        <v>1.1914791169973333E-2</v>
      </c>
      <c r="L13" s="90"/>
      <c r="M13" s="392"/>
      <c r="N13" s="392"/>
      <c r="O13" s="392"/>
      <c r="P13" s="392"/>
      <c r="Q13" s="392"/>
      <c r="R13" s="392"/>
      <c r="S13" s="392"/>
      <c r="T13" s="392"/>
      <c r="U13" s="392"/>
    </row>
    <row r="14" spans="1:21" ht="13" customHeight="1">
      <c r="A14" s="474"/>
      <c r="B14" s="474"/>
      <c r="C14" s="318" t="s">
        <v>0</v>
      </c>
      <c r="D14" s="321">
        <v>2729621</v>
      </c>
      <c r="E14" s="319">
        <v>555181.71762775804</v>
      </c>
      <c r="F14" s="319">
        <v>6079593.1446342925</v>
      </c>
      <c r="G14" s="320">
        <f>SUM(G8:G13)</f>
        <v>0.99999999999999989</v>
      </c>
      <c r="H14" s="320">
        <f>(E14-I14)/I14</f>
        <v>0.19255051550485633</v>
      </c>
      <c r="I14" s="321">
        <v>465541.46797943104</v>
      </c>
      <c r="J14" s="319">
        <v>5108649.4814196024</v>
      </c>
      <c r="K14" s="320">
        <f>SUM(K8:K13)</f>
        <v>1</v>
      </c>
      <c r="L14" s="90"/>
      <c r="M14" s="392"/>
      <c r="N14" s="392"/>
      <c r="O14" s="392"/>
      <c r="P14" s="392"/>
      <c r="Q14" s="392"/>
      <c r="R14" s="392"/>
      <c r="S14" s="392"/>
      <c r="T14" s="392"/>
      <c r="U14" s="392"/>
    </row>
    <row r="15" spans="1:21" ht="13" customHeight="1">
      <c r="A15" s="472" t="str">
        <f>'3.1'!E5</f>
        <v>Listopad</v>
      </c>
      <c r="B15" s="472"/>
      <c r="C15" s="164" t="s">
        <v>4</v>
      </c>
      <c r="D15" s="312">
        <v>1525</v>
      </c>
      <c r="E15" s="308">
        <v>373447.09125473292</v>
      </c>
      <c r="F15" s="308">
        <v>4076068.6381399999</v>
      </c>
      <c r="G15" s="309">
        <f>E15/$E$21</f>
        <v>0.43149266057179253</v>
      </c>
      <c r="H15" s="309">
        <f>(E15-I15)/I15</f>
        <v>0.24221871654713958</v>
      </c>
      <c r="I15" s="312">
        <v>300629.09717924974</v>
      </c>
      <c r="J15" s="308">
        <v>3285838.3969570003</v>
      </c>
      <c r="K15" s="309">
        <f>I15/$I$21</f>
        <v>0.41119303928717754</v>
      </c>
      <c r="L15" s="90"/>
      <c r="M15" s="392"/>
      <c r="N15" s="392"/>
      <c r="O15" s="392"/>
      <c r="P15" s="392"/>
      <c r="Q15" s="392"/>
      <c r="R15" s="392"/>
      <c r="S15" s="392"/>
      <c r="T15" s="392"/>
      <c r="U15" s="392"/>
    </row>
    <row r="16" spans="1:21" ht="13" customHeight="1">
      <c r="A16" s="473"/>
      <c r="B16" s="473"/>
      <c r="C16" s="154" t="s">
        <v>5</v>
      </c>
      <c r="D16" s="313">
        <v>6026</v>
      </c>
      <c r="E16" s="129">
        <v>81830.118350094999</v>
      </c>
      <c r="F16" s="129">
        <v>893193.25397700001</v>
      </c>
      <c r="G16" s="307">
        <f t="shared" ref="G16:G20" si="3">E16/$E$21</f>
        <v>9.4549124383733321E-2</v>
      </c>
      <c r="H16" s="307">
        <f t="shared" ref="H16:H18" si="4">(E16-I16)/I16</f>
        <v>0.11503593403148688</v>
      </c>
      <c r="I16" s="313">
        <v>73387.875540685709</v>
      </c>
      <c r="J16" s="129">
        <v>802342.61417000019</v>
      </c>
      <c r="K16" s="307">
        <f t="shared" ref="K16:K20" si="5">I16/$I$21</f>
        <v>0.10037811999418979</v>
      </c>
      <c r="L16" s="91"/>
      <c r="M16" s="392"/>
      <c r="N16" s="392"/>
      <c r="O16" s="392"/>
      <c r="P16" s="392"/>
      <c r="Q16" s="392"/>
      <c r="R16" s="392"/>
      <c r="S16" s="392"/>
      <c r="T16" s="392"/>
      <c r="U16" s="392"/>
    </row>
    <row r="17" spans="1:21" ht="13" customHeight="1">
      <c r="A17" s="473"/>
      <c r="B17" s="473"/>
      <c r="C17" s="154" t="s">
        <v>6</v>
      </c>
      <c r="D17" s="313">
        <v>200961</v>
      </c>
      <c r="E17" s="129">
        <v>142385.40359843802</v>
      </c>
      <c r="F17" s="129">
        <v>1554110.822940273</v>
      </c>
      <c r="G17" s="307">
        <f t="shared" si="3"/>
        <v>0.16451662916654156</v>
      </c>
      <c r="H17" s="307">
        <f t="shared" si="4"/>
        <v>0.16797253790769354</v>
      </c>
      <c r="I17" s="313">
        <v>121908.17761306895</v>
      </c>
      <c r="J17" s="129">
        <v>1332719.9214665915</v>
      </c>
      <c r="K17" s="307">
        <f>I17/$I$21</f>
        <v>0.16674298841003485</v>
      </c>
      <c r="L17" s="90"/>
      <c r="M17" s="392"/>
      <c r="N17" s="392"/>
      <c r="O17" s="392"/>
      <c r="P17" s="392"/>
      <c r="Q17" s="392"/>
      <c r="R17" s="392"/>
      <c r="S17" s="392"/>
      <c r="T17" s="392"/>
      <c r="U17" s="392"/>
    </row>
    <row r="18" spans="1:21" ht="13" customHeight="1">
      <c r="A18" s="473"/>
      <c r="B18" s="473"/>
      <c r="C18" s="154" t="s">
        <v>7</v>
      </c>
      <c r="D18" s="313">
        <v>2519441</v>
      </c>
      <c r="E18" s="129">
        <v>249843.08586861999</v>
      </c>
      <c r="F18" s="129">
        <v>2727120.1299647531</v>
      </c>
      <c r="G18" s="307">
        <f t="shared" si="3"/>
        <v>0.28867665693875283</v>
      </c>
      <c r="H18" s="307">
        <f t="shared" si="4"/>
        <v>0.14842073817668369</v>
      </c>
      <c r="I18" s="313">
        <v>217553.61738354625</v>
      </c>
      <c r="J18" s="129">
        <v>2378352.9700264493</v>
      </c>
      <c r="K18" s="307">
        <f>I18/$I$21</f>
        <v>0.29756445393747688</v>
      </c>
      <c r="L18" s="90"/>
      <c r="M18" s="392"/>
      <c r="N18" s="392"/>
      <c r="O18" s="392"/>
      <c r="P18" s="392"/>
      <c r="Q18" s="392"/>
      <c r="R18" s="392"/>
      <c r="S18" s="392"/>
      <c r="T18" s="392"/>
      <c r="U18" s="392"/>
    </row>
    <row r="19" spans="1:21" ht="13" customHeight="1">
      <c r="A19" s="473"/>
      <c r="B19" s="473"/>
      <c r="C19" s="154" t="s">
        <v>92</v>
      </c>
      <c r="D19" s="313">
        <v>285</v>
      </c>
      <c r="E19" s="129">
        <v>7956.5194582159993</v>
      </c>
      <c r="F19" s="129">
        <v>86818.217014999973</v>
      </c>
      <c r="G19" s="307">
        <f t="shared" si="3"/>
        <v>9.1932159342353638E-3</v>
      </c>
      <c r="H19" s="307">
        <f>(E19-I19)/I19</f>
        <v>2.1062116234926195E-2</v>
      </c>
      <c r="I19" s="313">
        <v>7792.3951263170375</v>
      </c>
      <c r="J19" s="129">
        <v>85178.013680000004</v>
      </c>
      <c r="K19" s="307">
        <f>I19/$I$21</f>
        <v>1.0658245211062869E-2</v>
      </c>
      <c r="L19" s="90"/>
      <c r="M19" s="392"/>
      <c r="N19" s="392"/>
      <c r="O19" s="392"/>
      <c r="P19" s="392"/>
      <c r="Q19" s="392"/>
      <c r="R19" s="392"/>
      <c r="S19" s="392"/>
      <c r="T19" s="392"/>
      <c r="U19" s="392"/>
    </row>
    <row r="20" spans="1:21" ht="13" customHeight="1">
      <c r="A20" s="473"/>
      <c r="B20" s="473"/>
      <c r="C20" s="154" t="s">
        <v>93</v>
      </c>
      <c r="D20" s="313"/>
      <c r="E20" s="129">
        <v>10015.054617161999</v>
      </c>
      <c r="F20" s="129">
        <v>109509.82473800001</v>
      </c>
      <c r="G20" s="307">
        <f t="shared" si="3"/>
        <v>1.1571713004944386E-2</v>
      </c>
      <c r="H20" s="307">
        <f t="shared" ref="H20" si="6">(E20-I20)/I20</f>
        <v>1.7469213519477819E-2</v>
      </c>
      <c r="I20" s="313">
        <v>9843.1033431659471</v>
      </c>
      <c r="J20" s="129">
        <v>107683.69492169999</v>
      </c>
      <c r="K20" s="307">
        <f t="shared" si="5"/>
        <v>1.3463153160057946E-2</v>
      </c>
      <c r="L20" s="90"/>
      <c r="M20" s="392"/>
      <c r="N20" s="392"/>
      <c r="O20" s="392"/>
      <c r="P20" s="392"/>
      <c r="Q20" s="392"/>
      <c r="R20" s="392"/>
      <c r="S20" s="392"/>
      <c r="T20" s="392"/>
      <c r="U20" s="392"/>
    </row>
    <row r="21" spans="1:21" ht="13" customHeight="1">
      <c r="A21" s="474"/>
      <c r="B21" s="474"/>
      <c r="C21" s="318" t="s">
        <v>0</v>
      </c>
      <c r="D21" s="321">
        <v>2728238</v>
      </c>
      <c r="E21" s="319">
        <v>865477.27314726391</v>
      </c>
      <c r="F21" s="319">
        <v>9446820.8867750261</v>
      </c>
      <c r="G21" s="320">
        <f>SUM(G15:G20)</f>
        <v>1</v>
      </c>
      <c r="H21" s="320">
        <f>(E21-I21)/I21</f>
        <v>0.18377839576589688</v>
      </c>
      <c r="I21" s="321">
        <v>731114.26618603372</v>
      </c>
      <c r="J21" s="319">
        <v>7992115.6112217419</v>
      </c>
      <c r="K21" s="320">
        <f>SUM(K15:K20)</f>
        <v>0.99999999999999989</v>
      </c>
      <c r="L21" s="90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1:21" ht="13" customHeight="1">
      <c r="A22" s="472" t="str">
        <f>'3.1'!F5</f>
        <v>Prosinec</v>
      </c>
      <c r="B22" s="472"/>
      <c r="C22" s="164" t="s">
        <v>4</v>
      </c>
      <c r="D22" s="312">
        <v>1523</v>
      </c>
      <c r="E22" s="308">
        <v>345496.27238628996</v>
      </c>
      <c r="F22" s="308">
        <v>3761434.6976969996</v>
      </c>
      <c r="G22" s="309">
        <f>E22/$E$28</f>
        <v>0.36397006543601562</v>
      </c>
      <c r="H22" s="309">
        <f>(E22-I22)/I22</f>
        <v>0.10851421139500192</v>
      </c>
      <c r="I22" s="312">
        <v>311675.09521732031</v>
      </c>
      <c r="J22" s="308">
        <v>3398356.2959544593</v>
      </c>
      <c r="K22" s="309">
        <f>I22/$I$28</f>
        <v>0.35425593637814934</v>
      </c>
      <c r="L22" s="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1" ht="13" customHeight="1">
      <c r="A23" s="473"/>
      <c r="B23" s="473"/>
      <c r="C23" s="154" t="s">
        <v>5</v>
      </c>
      <c r="D23" s="313">
        <v>6025</v>
      </c>
      <c r="E23" s="129">
        <v>90999.490210595992</v>
      </c>
      <c r="F23" s="129">
        <v>990713.36038899992</v>
      </c>
      <c r="G23" s="307">
        <f t="shared" ref="G23:G27" si="7">E23/$E$28</f>
        <v>9.586526123084449E-2</v>
      </c>
      <c r="H23" s="307">
        <f t="shared" ref="H23:H26" si="8">(E23-I23)/I23</f>
        <v>4.672212006203038E-2</v>
      </c>
      <c r="I23" s="313">
        <v>86937.58206352152</v>
      </c>
      <c r="J23" s="129">
        <v>948425.38118999987</v>
      </c>
      <c r="K23" s="307">
        <f t="shared" ref="K23:K27" si="9">I23/$I$28</f>
        <v>9.8814935851356769E-2</v>
      </c>
      <c r="L23" s="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1:21" ht="13" customHeight="1">
      <c r="A24" s="473"/>
      <c r="B24" s="473"/>
      <c r="C24" s="154" t="s">
        <v>6</v>
      </c>
      <c r="D24" s="313">
        <v>201068</v>
      </c>
      <c r="E24" s="129">
        <v>172760.11355974202</v>
      </c>
      <c r="F24" s="129">
        <v>1880794.1415265137</v>
      </c>
      <c r="G24" s="307">
        <f t="shared" si="7"/>
        <v>0.18199765051811886</v>
      </c>
      <c r="H24" s="307">
        <f t="shared" si="8"/>
        <v>6.1848644123870859E-2</v>
      </c>
      <c r="I24" s="313">
        <v>162697.49414455018</v>
      </c>
      <c r="J24" s="129">
        <v>1775183.5709394559</v>
      </c>
      <c r="K24" s="307">
        <f t="shared" si="9"/>
        <v>0.18492511599095882</v>
      </c>
      <c r="L24" s="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1:21" ht="13" customHeight="1">
      <c r="A25" s="473"/>
      <c r="B25" s="473"/>
      <c r="C25" s="154" t="s">
        <v>7</v>
      </c>
      <c r="D25" s="313">
        <v>2518556</v>
      </c>
      <c r="E25" s="129">
        <v>313721.60967203695</v>
      </c>
      <c r="F25" s="129">
        <v>3415401.9159774007</v>
      </c>
      <c r="G25" s="307">
        <f t="shared" si="7"/>
        <v>0.33049640163224686</v>
      </c>
      <c r="H25" s="307">
        <f t="shared" si="8"/>
        <v>5.2029254022012653E-2</v>
      </c>
      <c r="I25" s="313">
        <v>298206.16534440272</v>
      </c>
      <c r="J25" s="129">
        <v>3253121.1136326734</v>
      </c>
      <c r="K25" s="307">
        <f t="shared" si="9"/>
        <v>0.33894689039609843</v>
      </c>
      <c r="L25" s="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1:21" ht="13" customHeight="1">
      <c r="A26" s="473"/>
      <c r="B26" s="473"/>
      <c r="C26" s="154" t="s">
        <v>92</v>
      </c>
      <c r="D26" s="313">
        <v>285</v>
      </c>
      <c r="E26" s="129">
        <v>7581.6620000000003</v>
      </c>
      <c r="F26" s="129">
        <v>82512.837807999997</v>
      </c>
      <c r="G26" s="307">
        <f t="shared" si="7"/>
        <v>7.9870558231911505E-3</v>
      </c>
      <c r="H26" s="307">
        <f t="shared" si="8"/>
        <v>9.0153540679946634E-3</v>
      </c>
      <c r="I26" s="313">
        <v>7513.9213386926258</v>
      </c>
      <c r="J26" s="129">
        <v>81640.775629999989</v>
      </c>
      <c r="K26" s="307">
        <f t="shared" si="9"/>
        <v>8.5404682008817425E-3</v>
      </c>
      <c r="L26" s="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1:21" ht="13" customHeight="1">
      <c r="A27" s="473"/>
      <c r="B27" s="473"/>
      <c r="C27" s="154" t="s">
        <v>93</v>
      </c>
      <c r="D27" s="313"/>
      <c r="E27" s="129">
        <v>18684.499371839996</v>
      </c>
      <c r="F27" s="129">
        <v>204911.88010099999</v>
      </c>
      <c r="G27" s="307">
        <f t="shared" si="7"/>
        <v>1.9683565359582905E-2</v>
      </c>
      <c r="H27" s="307">
        <f t="shared" ref="H27" si="10">(E27-I27)/I27</f>
        <v>0.46295174231201047</v>
      </c>
      <c r="I27" s="313">
        <v>12771.781072088888</v>
      </c>
      <c r="J27" s="129">
        <v>139333.92943410002</v>
      </c>
      <c r="K27" s="307">
        <f t="shared" si="9"/>
        <v>1.4516653182554767E-2</v>
      </c>
      <c r="L27" s="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1:21" ht="13" customHeight="1">
      <c r="A28" s="474"/>
      <c r="B28" s="474"/>
      <c r="C28" s="318" t="s">
        <v>0</v>
      </c>
      <c r="D28" s="321">
        <v>2727457</v>
      </c>
      <c r="E28" s="319">
        <v>949243.64720050502</v>
      </c>
      <c r="F28" s="319">
        <v>10335768.833498914</v>
      </c>
      <c r="G28" s="320">
        <f>SUM(G22:G27)</f>
        <v>0.99999999999999989</v>
      </c>
      <c r="H28" s="320">
        <f>(E28-I28)/I28</f>
        <v>7.8928673641862332E-2</v>
      </c>
      <c r="I28" s="321">
        <v>879802.03918057634</v>
      </c>
      <c r="J28" s="319">
        <v>9596061.0667806882</v>
      </c>
      <c r="K28" s="320">
        <f>SUM(K22:K27)</f>
        <v>0.99999999999999978</v>
      </c>
      <c r="M28" s="392"/>
      <c r="N28" s="392"/>
      <c r="O28" s="392"/>
      <c r="P28" s="392"/>
      <c r="Q28" s="392"/>
      <c r="R28" s="392"/>
      <c r="S28" s="392"/>
      <c r="T28" s="392"/>
      <c r="U28" s="392"/>
    </row>
    <row r="29" spans="1:21" ht="13" customHeight="1">
      <c r="A29" s="475" t="str">
        <f>'3.1'!G5</f>
        <v>IV. čtvrtletí</v>
      </c>
      <c r="B29" s="472"/>
      <c r="C29" s="164" t="s">
        <v>4</v>
      </c>
      <c r="D29" s="312">
        <f>D22</f>
        <v>1523</v>
      </c>
      <c r="E29" s="308">
        <f>E8+E15+E22</f>
        <v>1002606.9382567669</v>
      </c>
      <c r="F29" s="308">
        <f>F8+F15+F22</f>
        <v>10943681.937551999</v>
      </c>
      <c r="G29" s="309">
        <f>E29/$E$35</f>
        <v>0.42305828188504696</v>
      </c>
      <c r="H29" s="309">
        <f>(E29-I29)/I29</f>
        <v>0.13883867386485993</v>
      </c>
      <c r="I29" s="312">
        <f>I8+I15+I22</f>
        <v>880376.6163421853</v>
      </c>
      <c r="J29" s="308">
        <f>J8+J15+J22</f>
        <v>9625678.5625514612</v>
      </c>
      <c r="K29" s="309">
        <f>I29/$I$35</f>
        <v>0.42398002388631811</v>
      </c>
      <c r="M29" s="392"/>
      <c r="N29" s="392"/>
      <c r="O29" s="392"/>
      <c r="P29" s="392"/>
      <c r="Q29" s="392"/>
      <c r="R29" s="392"/>
      <c r="S29" s="392"/>
      <c r="T29" s="392"/>
      <c r="U29" s="392"/>
    </row>
    <row r="30" spans="1:21" ht="13" customHeight="1">
      <c r="A30" s="473"/>
      <c r="B30" s="473"/>
      <c r="C30" s="154" t="s">
        <v>5</v>
      </c>
      <c r="D30" s="313">
        <f t="shared" ref="D30:D33" si="11">D23</f>
        <v>6025</v>
      </c>
      <c r="E30" s="129">
        <f>E9+E16+E23</f>
        <v>225830.87722127698</v>
      </c>
      <c r="F30" s="129">
        <f t="shared" ref="F30" si="12">F9+F16+F23</f>
        <v>2464325.9274009997</v>
      </c>
      <c r="G30" s="307">
        <f t="shared" ref="G30:G34" si="13">E30/$E$35</f>
        <v>9.5291204626951023E-2</v>
      </c>
      <c r="H30" s="307">
        <f t="shared" ref="H30:H32" si="14">(E30-I30)/I30</f>
        <v>0.11455922310353027</v>
      </c>
      <c r="I30" s="313">
        <f>I9+I16+I23</f>
        <v>202619.00179018104</v>
      </c>
      <c r="J30" s="129">
        <f t="shared" ref="J30" si="15">J9+J16+J23</f>
        <v>2214917.2650699997</v>
      </c>
      <c r="K30" s="307">
        <f t="shared" ref="K30:K34" si="16">I30/$I$35</f>
        <v>9.7579158310393752E-2</v>
      </c>
      <c r="M30" s="392"/>
      <c r="N30" s="392"/>
      <c r="O30" s="392"/>
      <c r="P30" s="392"/>
      <c r="Q30" s="392"/>
      <c r="R30" s="392"/>
      <c r="S30" s="392"/>
      <c r="T30" s="392"/>
      <c r="U30" s="392"/>
    </row>
    <row r="31" spans="1:21" ht="13" customHeight="1">
      <c r="A31" s="473"/>
      <c r="B31" s="473"/>
      <c r="C31" s="154" t="s">
        <v>6</v>
      </c>
      <c r="D31" s="313">
        <f t="shared" si="11"/>
        <v>201068</v>
      </c>
      <c r="E31" s="129">
        <f t="shared" ref="E31:F31" si="17">E10+E17+E24</f>
        <v>391125.240985804</v>
      </c>
      <c r="F31" s="129">
        <f t="shared" si="17"/>
        <v>4266856.8353856178</v>
      </c>
      <c r="G31" s="307">
        <f t="shared" si="13"/>
        <v>0.16503852720292342</v>
      </c>
      <c r="H31" s="307">
        <f t="shared" si="14"/>
        <v>0.16187065868739528</v>
      </c>
      <c r="I31" s="313">
        <f t="shared" ref="I31:J31" si="18">I10+I17+I24</f>
        <v>336634.06340570771</v>
      </c>
      <c r="J31" s="129">
        <f t="shared" si="18"/>
        <v>3678834.3887439054</v>
      </c>
      <c r="K31" s="307">
        <f t="shared" si="16"/>
        <v>0.16211938799181533</v>
      </c>
      <c r="M31" s="392"/>
      <c r="N31" s="392"/>
      <c r="O31" s="392"/>
      <c r="P31" s="392"/>
      <c r="Q31" s="392"/>
      <c r="R31" s="392"/>
      <c r="S31" s="392"/>
      <c r="T31" s="392"/>
      <c r="U31" s="392"/>
    </row>
    <row r="32" spans="1:21" ht="13" customHeight="1">
      <c r="A32" s="473"/>
      <c r="B32" s="473"/>
      <c r="C32" s="154" t="s">
        <v>7</v>
      </c>
      <c r="D32" s="313">
        <f t="shared" si="11"/>
        <v>2518556</v>
      </c>
      <c r="E32" s="129">
        <f>E11+E18+E25</f>
        <v>692837.11519253999</v>
      </c>
      <c r="F32" s="129">
        <f t="shared" ref="E32:F34" si="19">F11+F18+F25</f>
        <v>7558175.0396882463</v>
      </c>
      <c r="G32" s="307">
        <f t="shared" si="13"/>
        <v>0.29234834549337912</v>
      </c>
      <c r="H32" s="307">
        <f t="shared" si="14"/>
        <v>0.14402614728016613</v>
      </c>
      <c r="I32" s="313">
        <f>I11+I18+I25</f>
        <v>605613.00704508089</v>
      </c>
      <c r="J32" s="129">
        <f t="shared" ref="J32" si="20">J11+J18+J25</f>
        <v>6617551.8698382666</v>
      </c>
      <c r="K32" s="307">
        <f t="shared" si="16"/>
        <v>0.29165678918150373</v>
      </c>
      <c r="M32" s="392"/>
      <c r="N32" s="392"/>
      <c r="O32" s="392"/>
      <c r="P32" s="392"/>
      <c r="Q32" s="392"/>
      <c r="R32" s="392"/>
      <c r="S32" s="392"/>
      <c r="T32" s="392"/>
      <c r="U32" s="392"/>
    </row>
    <row r="33" spans="1:21" ht="13" customHeight="1">
      <c r="A33" s="473"/>
      <c r="B33" s="473"/>
      <c r="C33" s="154" t="s">
        <v>92</v>
      </c>
      <c r="D33" s="313">
        <f t="shared" si="11"/>
        <v>285</v>
      </c>
      <c r="E33" s="129">
        <f>E12+E19+E26</f>
        <v>23564.513736893001</v>
      </c>
      <c r="F33" s="129">
        <f t="shared" si="19"/>
        <v>257191.14247499994</v>
      </c>
      <c r="G33" s="307">
        <f t="shared" si="13"/>
        <v>9.9432412789003111E-3</v>
      </c>
      <c r="H33" s="307">
        <f>(E33-I33)/I33</f>
        <v>2.2172148348216913E-2</v>
      </c>
      <c r="I33" s="313">
        <f>I12+I19+I26</f>
        <v>23053.370975693448</v>
      </c>
      <c r="J33" s="129">
        <f t="shared" ref="J33" si="21">J12+J19+J26</f>
        <v>251825.97850999999</v>
      </c>
      <c r="K33" s="307">
        <f t="shared" si="16"/>
        <v>1.1102258505620769E-2</v>
      </c>
      <c r="M33" s="392"/>
      <c r="N33" s="392"/>
      <c r="O33" s="392"/>
      <c r="P33" s="392"/>
      <c r="Q33" s="392"/>
      <c r="R33" s="392"/>
      <c r="S33" s="392"/>
      <c r="T33" s="392"/>
      <c r="U33" s="392"/>
    </row>
    <row r="34" spans="1:21" ht="13" customHeight="1">
      <c r="A34" s="473"/>
      <c r="B34" s="473"/>
      <c r="C34" s="154" t="s">
        <v>93</v>
      </c>
      <c r="D34" s="313"/>
      <c r="E34" s="129">
        <f t="shared" si="19"/>
        <v>33937.952582245998</v>
      </c>
      <c r="F34" s="129">
        <f t="shared" si="19"/>
        <v>371951.982406369</v>
      </c>
      <c r="G34" s="307">
        <f t="shared" si="13"/>
        <v>1.4320399512799084E-2</v>
      </c>
      <c r="H34" s="307">
        <f t="shared" ref="H34" si="22">(E34-I34)/I34</f>
        <v>0.20510963355079401</v>
      </c>
      <c r="I34" s="313">
        <f t="shared" ref="I34:J34" si="23">I13+I20+I27</f>
        <v>28161.713787192584</v>
      </c>
      <c r="J34" s="129">
        <f t="shared" si="23"/>
        <v>308018.09470839996</v>
      </c>
      <c r="K34" s="307">
        <f t="shared" si="16"/>
        <v>1.356238212434838E-2</v>
      </c>
      <c r="M34" s="392"/>
      <c r="N34" s="392"/>
      <c r="O34" s="392"/>
      <c r="P34" s="392"/>
      <c r="Q34" s="392"/>
      <c r="R34" s="392"/>
      <c r="S34" s="392"/>
      <c r="T34" s="392"/>
      <c r="U34" s="392"/>
    </row>
    <row r="35" spans="1:21" ht="13" customHeight="1">
      <c r="A35" s="474"/>
      <c r="B35" s="474"/>
      <c r="C35" s="318" t="s">
        <v>0</v>
      </c>
      <c r="D35" s="321">
        <f>SUM(D29:D34)</f>
        <v>2727457</v>
      </c>
      <c r="E35" s="319">
        <f>SUM(E29:E34)</f>
        <v>2369902.637975527</v>
      </c>
      <c r="F35" s="319">
        <f>SUM(F29:F34)</f>
        <v>25862182.864908233</v>
      </c>
      <c r="G35" s="320">
        <f>SUM(G29:G34)</f>
        <v>1</v>
      </c>
      <c r="H35" s="320">
        <f>(E35-I35)/I35</f>
        <v>0.14131992877303923</v>
      </c>
      <c r="I35" s="321">
        <f>SUM(I29:I34)</f>
        <v>2076457.7733460409</v>
      </c>
      <c r="J35" s="319">
        <f>SUM(J29:J34)</f>
        <v>22696826.159422033</v>
      </c>
      <c r="K35" s="320">
        <f>SUM(K29:K34)</f>
        <v>1</v>
      </c>
      <c r="M35" s="392"/>
      <c r="N35" s="392"/>
      <c r="O35" s="392"/>
      <c r="P35" s="392"/>
      <c r="Q35" s="392"/>
      <c r="R35" s="392"/>
      <c r="S35" s="392"/>
      <c r="T35" s="392"/>
      <c r="U35" s="392"/>
    </row>
    <row r="36" spans="1:21" ht="20.149999999999999" customHeight="1">
      <c r="A36" s="126"/>
      <c r="B36" s="303"/>
      <c r="C36" s="101"/>
      <c r="D36" s="88"/>
      <c r="E36" s="88"/>
      <c r="F36" s="88"/>
      <c r="G36" s="476" t="s">
        <v>268</v>
      </c>
      <c r="H36" s="476"/>
      <c r="I36" s="476"/>
      <c r="J36" s="476"/>
      <c r="K36" s="476"/>
    </row>
    <row r="37" spans="1:21" ht="15" customHeight="1">
      <c r="A37" s="468" t="s">
        <v>267</v>
      </c>
      <c r="B37" s="468"/>
      <c r="C37" s="468"/>
      <c r="D37" s="468"/>
      <c r="E37" s="468"/>
      <c r="F37" s="119"/>
      <c r="G37" s="476"/>
      <c r="H37" s="476"/>
      <c r="I37" s="476"/>
      <c r="J37" s="476"/>
      <c r="K37" s="476"/>
      <c r="M37" s="93"/>
      <c r="N37" s="93"/>
      <c r="O37" s="93"/>
      <c r="P37" s="93"/>
      <c r="Q37" s="93"/>
      <c r="R37" s="93"/>
      <c r="S37" s="93"/>
    </row>
    <row r="38" spans="1:21" ht="15" customHeight="1">
      <c r="A38" s="469" t="str">
        <f>A29</f>
        <v>IV. čtvrtletí</v>
      </c>
      <c r="B38" s="470"/>
      <c r="C38" s="470"/>
      <c r="D38" s="470"/>
      <c r="E38" s="470"/>
      <c r="F38" s="125"/>
      <c r="G38" s="471" t="str">
        <f>A29</f>
        <v>IV. čtvrtletí</v>
      </c>
      <c r="H38" s="471"/>
      <c r="I38" s="471"/>
      <c r="J38" s="471"/>
      <c r="K38" s="471"/>
      <c r="M38" s="93"/>
      <c r="N38" s="93"/>
      <c r="O38" s="93"/>
      <c r="P38" s="93"/>
      <c r="Q38" s="93"/>
      <c r="R38" s="93"/>
      <c r="S38" s="93"/>
    </row>
    <row r="39" spans="1:21" ht="15" customHeight="1">
      <c r="A39" s="126"/>
      <c r="B39" s="126"/>
      <c r="C39" s="126"/>
      <c r="D39" s="76"/>
      <c r="E39" s="76"/>
      <c r="F39" s="76"/>
      <c r="G39" s="126"/>
      <c r="H39" s="126"/>
      <c r="I39" s="126"/>
      <c r="J39" s="126"/>
      <c r="K39" s="126"/>
      <c r="M39" s="93"/>
      <c r="N39" s="93"/>
      <c r="O39" s="93"/>
      <c r="P39" s="93"/>
      <c r="Q39" s="93"/>
      <c r="R39" s="93"/>
      <c r="S39" s="93"/>
      <c r="T39" s="93"/>
    </row>
    <row r="40" spans="1:21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1" ht="15" customHeight="1">
      <c r="A41" s="94"/>
      <c r="B41" s="94"/>
      <c r="C41" s="94"/>
      <c r="D41" s="76"/>
      <c r="E41" s="76"/>
      <c r="F41" s="76"/>
      <c r="G41" s="94"/>
      <c r="H41" s="94"/>
      <c r="I41" s="94"/>
      <c r="J41" s="94"/>
      <c r="K41" s="94"/>
    </row>
    <row r="42" spans="1:21" ht="15" customHeight="1">
      <c r="A42" s="94"/>
      <c r="B42" s="94"/>
      <c r="C42" s="94">
        <f>D4</f>
        <v>2024</v>
      </c>
      <c r="D42" s="94">
        <f>I4</f>
        <v>2023</v>
      </c>
      <c r="E42" s="76"/>
      <c r="F42" s="76"/>
      <c r="G42" s="76"/>
      <c r="H42" s="94"/>
      <c r="I42" s="94">
        <f>D4</f>
        <v>2024</v>
      </c>
      <c r="J42" s="94">
        <f>I4</f>
        <v>2023</v>
      </c>
      <c r="K42" s="94"/>
    </row>
    <row r="43" spans="1:21" ht="15" customHeight="1">
      <c r="A43" s="94"/>
      <c r="B43" s="94" t="str">
        <f>A8</f>
        <v>Říjen</v>
      </c>
      <c r="C43" s="78">
        <f>E14</f>
        <v>555181.71762775804</v>
      </c>
      <c r="D43" s="78">
        <f>I14</f>
        <v>465541.46797943104</v>
      </c>
      <c r="E43" s="76"/>
      <c r="F43" s="76"/>
      <c r="G43" s="76"/>
      <c r="H43" s="94" t="str">
        <f>A8</f>
        <v>Říjen</v>
      </c>
      <c r="I43" s="95">
        <f>E14/E35</f>
        <v>0.23426351307917789</v>
      </c>
      <c r="J43" s="95">
        <f>I14/I35</f>
        <v>0.22419982431390803</v>
      </c>
      <c r="K43" s="94"/>
    </row>
    <row r="44" spans="1:21" ht="15" customHeight="1">
      <c r="A44" s="94"/>
      <c r="B44" s="94" t="str">
        <f>A15</f>
        <v>Listopad</v>
      </c>
      <c r="C44" s="78">
        <f>E21</f>
        <v>865477.27314726391</v>
      </c>
      <c r="D44" s="78">
        <f>I21</f>
        <v>731114.26618603372</v>
      </c>
      <c r="E44" s="76"/>
      <c r="F44" s="76"/>
      <c r="G44" s="76"/>
      <c r="H44" s="94" t="str">
        <f>A15</f>
        <v>Listopad</v>
      </c>
      <c r="I44" s="95">
        <f>E21/E35</f>
        <v>0.36519528662434503</v>
      </c>
      <c r="J44" s="95">
        <f>I21/I35</f>
        <v>0.35209686205556845</v>
      </c>
      <c r="K44" s="94"/>
    </row>
    <row r="45" spans="1:21" ht="15" customHeight="1">
      <c r="A45" s="94"/>
      <c r="B45" s="94" t="str">
        <f>A22</f>
        <v>Prosinec</v>
      </c>
      <c r="C45" s="78">
        <f>E28</f>
        <v>949243.64720050502</v>
      </c>
      <c r="D45" s="78">
        <f>I28</f>
        <v>879802.03918057634</v>
      </c>
      <c r="E45" s="76"/>
      <c r="F45" s="76"/>
      <c r="G45" s="76"/>
      <c r="H45" s="94" t="str">
        <f>A22</f>
        <v>Prosinec</v>
      </c>
      <c r="I45" s="95">
        <f>E28/E35</f>
        <v>0.40054120029647711</v>
      </c>
      <c r="J45" s="95">
        <f>I28/I35</f>
        <v>0.42370331363052366</v>
      </c>
      <c r="K45" s="94"/>
    </row>
    <row r="46" spans="1:21" ht="15" customHeight="1">
      <c r="A46" s="94"/>
      <c r="B46" s="94"/>
      <c r="C46" s="78">
        <f>SUM(C43:C45)</f>
        <v>2369902.637975527</v>
      </c>
      <c r="D46" s="78">
        <f>SUM(D43:D45)</f>
        <v>2076457.7733460411</v>
      </c>
      <c r="E46" s="94"/>
      <c r="F46" s="94"/>
      <c r="G46" s="94"/>
      <c r="H46" s="94"/>
      <c r="I46" s="96">
        <f>SUM(I43:I45)</f>
        <v>1</v>
      </c>
      <c r="J46" s="96">
        <f>SUM(J43:J45)</f>
        <v>1.0000000000000002</v>
      </c>
      <c r="K46" s="94"/>
    </row>
    <row r="47" spans="1:21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1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</sheetData>
  <mergeCells count="21">
    <mergeCell ref="A2:K2"/>
    <mergeCell ref="A3:C3"/>
    <mergeCell ref="I6:J6"/>
    <mergeCell ref="E6:F6"/>
    <mergeCell ref="G6:G7"/>
    <mergeCell ref="H6:H7"/>
    <mergeCell ref="K6:K7"/>
    <mergeCell ref="I4:K5"/>
    <mergeCell ref="D6:D7"/>
    <mergeCell ref="C6:C7"/>
    <mergeCell ref="A6:B7"/>
    <mergeCell ref="A4:C4"/>
    <mergeCell ref="D4:G5"/>
    <mergeCell ref="A37:E37"/>
    <mergeCell ref="A38:E38"/>
    <mergeCell ref="G38:K38"/>
    <mergeCell ref="A8:B14"/>
    <mergeCell ref="A15:B21"/>
    <mergeCell ref="A22:B28"/>
    <mergeCell ref="A29:B35"/>
    <mergeCell ref="G36:K3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5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4"/>
  <dimension ref="A1:U92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62" t="s">
        <v>294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</row>
    <row r="2" spans="1:21" ht="6" customHeight="1">
      <c r="A2" s="477"/>
      <c r="B2" s="477"/>
      <c r="C2" s="477"/>
      <c r="D2" s="315"/>
      <c r="E2" s="315"/>
      <c r="F2" s="316"/>
      <c r="G2" s="317"/>
      <c r="H2" s="317"/>
      <c r="I2" s="317"/>
      <c r="J2" s="279"/>
      <c r="K2" s="279"/>
    </row>
    <row r="3" spans="1:21" ht="15" customHeight="1">
      <c r="A3" s="488" t="s">
        <v>252</v>
      </c>
      <c r="B3" s="488"/>
      <c r="C3" s="488"/>
      <c r="D3" s="341">
        <f>'3.1'!A4</f>
        <v>2024</v>
      </c>
      <c r="E3" s="483"/>
      <c r="F3" s="483"/>
      <c r="G3" s="483"/>
      <c r="H3" s="340"/>
      <c r="I3" s="482">
        <f>D3-1</f>
        <v>2023</v>
      </c>
      <c r="J3" s="483"/>
      <c r="K3" s="483"/>
    </row>
    <row r="4" spans="1:21" ht="50.15" customHeight="1">
      <c r="A4" s="489"/>
      <c r="B4" s="489"/>
      <c r="C4" s="489"/>
      <c r="D4" s="343"/>
      <c r="E4" s="485"/>
      <c r="F4" s="485"/>
      <c r="G4" s="485"/>
      <c r="H4" s="174"/>
      <c r="I4" s="484"/>
      <c r="J4" s="485"/>
      <c r="K4" s="485"/>
    </row>
    <row r="5" spans="1:21" ht="25" customHeight="1">
      <c r="A5" s="488" t="s">
        <v>157</v>
      </c>
      <c r="B5" s="488"/>
      <c r="C5" s="490" t="s">
        <v>183</v>
      </c>
      <c r="D5" s="486" t="s">
        <v>158</v>
      </c>
      <c r="E5" s="480" t="s">
        <v>60</v>
      </c>
      <c r="F5" s="480"/>
      <c r="G5" s="481" t="s">
        <v>33</v>
      </c>
      <c r="H5" s="481" t="s">
        <v>266</v>
      </c>
      <c r="I5" s="478" t="s">
        <v>60</v>
      </c>
      <c r="J5" s="479"/>
      <c r="K5" s="481" t="s">
        <v>33</v>
      </c>
    </row>
    <row r="6" spans="1:21" ht="22.5" customHeight="1">
      <c r="A6" s="489"/>
      <c r="B6" s="489"/>
      <c r="C6" s="491"/>
      <c r="D6" s="487"/>
      <c r="E6" s="219" t="s">
        <v>257</v>
      </c>
      <c r="F6" s="219" t="s">
        <v>258</v>
      </c>
      <c r="G6" s="467"/>
      <c r="H6" s="467"/>
      <c r="I6" s="221" t="s">
        <v>257</v>
      </c>
      <c r="J6" s="219" t="s">
        <v>258</v>
      </c>
      <c r="K6" s="467"/>
    </row>
    <row r="7" spans="1:21" ht="13" customHeight="1">
      <c r="A7" s="422" t="str">
        <f>'3.1'!D5</f>
        <v>Říjen</v>
      </c>
      <c r="B7" s="422"/>
      <c r="C7" s="164" t="s">
        <v>4</v>
      </c>
      <c r="D7" s="312">
        <v>134</v>
      </c>
      <c r="E7" s="308">
        <v>11976.788409744</v>
      </c>
      <c r="F7" s="308">
        <v>131147.69216999999</v>
      </c>
      <c r="G7" s="309">
        <f t="shared" ref="G7:G12" si="0">E7/$E$13</f>
        <v>0.22426306904337803</v>
      </c>
      <c r="H7" s="309">
        <f>(E7-I7)/I7</f>
        <v>0.18882035966267013</v>
      </c>
      <c r="I7" s="312">
        <v>10074.514885615212</v>
      </c>
      <c r="J7" s="308">
        <v>110612.44157000001</v>
      </c>
      <c r="K7" s="309">
        <f>I7/$I$13</f>
        <v>0.24497453941326286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23"/>
      <c r="B8" s="423"/>
      <c r="C8" s="154" t="s">
        <v>5</v>
      </c>
      <c r="D8" s="313">
        <v>1407</v>
      </c>
      <c r="E8" s="129">
        <v>9939.2992095860009</v>
      </c>
      <c r="F8" s="129">
        <v>108836.76347000001</v>
      </c>
      <c r="G8" s="307">
        <f t="shared" si="0"/>
        <v>0.18611147401324279</v>
      </c>
      <c r="H8" s="307">
        <f t="shared" ref="H8:H11" si="1">(E8-I8)/I8</f>
        <v>0.28550962626975568</v>
      </c>
      <c r="I8" s="313">
        <v>7731.7967959738207</v>
      </c>
      <c r="J8" s="129">
        <v>84890.570680000004</v>
      </c>
      <c r="K8" s="307">
        <f t="shared" ref="K8:K12" si="2">I8/$I$13</f>
        <v>0.18800839349943183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23"/>
      <c r="B9" s="423"/>
      <c r="C9" s="154" t="s">
        <v>6</v>
      </c>
      <c r="D9" s="313">
        <v>37086</v>
      </c>
      <c r="E9" s="129">
        <v>12937.132967624</v>
      </c>
      <c r="F9" s="129">
        <v>141663.476577831</v>
      </c>
      <c r="G9" s="307">
        <f t="shared" si="0"/>
        <v>0.2422453369537016</v>
      </c>
      <c r="H9" s="307">
        <f t="shared" si="1"/>
        <v>0.39079100424621627</v>
      </c>
      <c r="I9" s="313">
        <v>9301.9964380886213</v>
      </c>
      <c r="J9" s="129">
        <v>102130.437067858</v>
      </c>
      <c r="K9" s="307">
        <f t="shared" si="2"/>
        <v>0.22618977875532884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23"/>
      <c r="B10" s="423"/>
      <c r="C10" s="154" t="s">
        <v>7</v>
      </c>
      <c r="D10" s="313">
        <v>359680</v>
      </c>
      <c r="E10" s="129">
        <v>16218.507168882999</v>
      </c>
      <c r="F10" s="129">
        <v>177594.998536092</v>
      </c>
      <c r="G10" s="307">
        <f t="shared" si="0"/>
        <v>0.30368844038662229</v>
      </c>
      <c r="H10" s="307">
        <f t="shared" si="1"/>
        <v>0.37259645392237029</v>
      </c>
      <c r="I10" s="313">
        <v>11815.932587131882</v>
      </c>
      <c r="J10" s="129">
        <v>129731.9739391442</v>
      </c>
      <c r="K10" s="307">
        <f t="shared" si="2"/>
        <v>0.28731930779156656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23"/>
      <c r="B11" s="423"/>
      <c r="C11" s="154" t="s">
        <v>92</v>
      </c>
      <c r="D11" s="313">
        <v>40</v>
      </c>
      <c r="E11" s="129">
        <v>1228.081278677</v>
      </c>
      <c r="F11" s="129">
        <v>13447.66757</v>
      </c>
      <c r="G11" s="307">
        <f t="shared" si="0"/>
        <v>2.299558672730254E-2</v>
      </c>
      <c r="H11" s="307">
        <f t="shared" si="1"/>
        <v>9.1884507078809893E-2</v>
      </c>
      <c r="I11" s="313">
        <v>1124.7355106837867</v>
      </c>
      <c r="J11" s="129">
        <v>12348.932839999999</v>
      </c>
      <c r="K11" s="307">
        <f t="shared" si="2"/>
        <v>2.7349362904303853E-2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23"/>
      <c r="B12" s="423"/>
      <c r="C12" s="154" t="s">
        <v>93</v>
      </c>
      <c r="D12" s="313"/>
      <c r="E12" s="129">
        <v>1105.27661259</v>
      </c>
      <c r="F12" s="129">
        <v>12102.93872</v>
      </c>
      <c r="G12" s="307">
        <f t="shared" si="0"/>
        <v>2.0696092875752855E-2</v>
      </c>
      <c r="H12" s="307">
        <f>(E12-I12)/I12</f>
        <v>2.7431786410047784E-2</v>
      </c>
      <c r="I12" s="313">
        <v>1075.7664179847404</v>
      </c>
      <c r="J12" s="129">
        <v>11811.281070999999</v>
      </c>
      <c r="K12" s="307">
        <f t="shared" si="2"/>
        <v>2.615861763610609E-2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24"/>
      <c r="B13" s="424"/>
      <c r="C13" s="318" t="s">
        <v>0</v>
      </c>
      <c r="D13" s="321">
        <v>398347</v>
      </c>
      <c r="E13" s="319">
        <v>53405.085647103995</v>
      </c>
      <c r="F13" s="319">
        <v>584793.53704392305</v>
      </c>
      <c r="G13" s="320">
        <f>SUM(G7:G12)</f>
        <v>1</v>
      </c>
      <c r="H13" s="320">
        <f>(E13-I13)/I13</f>
        <v>0.29861203316155849</v>
      </c>
      <c r="I13" s="321">
        <v>41124.742635478062</v>
      </c>
      <c r="J13" s="319">
        <v>451525.63716800226</v>
      </c>
      <c r="K13" s="320">
        <f>SUM(K7:K12)</f>
        <v>1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22" t="str">
        <f>'3.1'!E5</f>
        <v>Listopad</v>
      </c>
      <c r="B14" s="422"/>
      <c r="C14" s="164" t="s">
        <v>4</v>
      </c>
      <c r="D14" s="312">
        <v>135</v>
      </c>
      <c r="E14" s="308">
        <v>18757.481164732999</v>
      </c>
      <c r="F14" s="308">
        <v>204831.49749000001</v>
      </c>
      <c r="G14" s="309">
        <f>E14/$E$20</f>
        <v>0.19608181765866667</v>
      </c>
      <c r="H14" s="309">
        <f>(E14-I14)/I14</f>
        <v>0.11489345051822243</v>
      </c>
      <c r="I14" s="312">
        <v>16824.460809249696</v>
      </c>
      <c r="J14" s="308">
        <v>184045.77160000001</v>
      </c>
      <c r="K14" s="309">
        <f>I14/$I$20</f>
        <v>0.19928890330916965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23"/>
      <c r="B15" s="423"/>
      <c r="C15" s="154" t="s">
        <v>5</v>
      </c>
      <c r="D15" s="313">
        <v>1410</v>
      </c>
      <c r="E15" s="129">
        <v>17967.440813095</v>
      </c>
      <c r="F15" s="129">
        <v>196204.24033999999</v>
      </c>
      <c r="G15" s="307">
        <f t="shared" ref="G15:G19" si="3">E15/$E$20</f>
        <v>0.18782311027613544</v>
      </c>
      <c r="H15" s="307">
        <f t="shared" ref="H15:H17" si="4">(E15-I15)/I15</f>
        <v>0.10364552749917236</v>
      </c>
      <c r="I15" s="313">
        <v>16280.08302068571</v>
      </c>
      <c r="J15" s="129">
        <v>178090.77637999997</v>
      </c>
      <c r="K15" s="307">
        <f t="shared" ref="K15:K19" si="5">I15/$I$20</f>
        <v>0.19284064599508424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23"/>
      <c r="B16" s="423"/>
      <c r="C16" s="154" t="s">
        <v>6</v>
      </c>
      <c r="D16" s="313">
        <v>37090</v>
      </c>
      <c r="E16" s="129">
        <v>25190.284063438001</v>
      </c>
      <c r="F16" s="129">
        <v>275077.60287227301</v>
      </c>
      <c r="G16" s="307">
        <f t="shared" si="3"/>
        <v>0.26332729022187856</v>
      </c>
      <c r="H16" s="307">
        <f t="shared" si="4"/>
        <v>0.15610304520436893</v>
      </c>
      <c r="I16" s="313">
        <v>21788.960913068968</v>
      </c>
      <c r="J16" s="129">
        <v>238353.38926659134</v>
      </c>
      <c r="K16" s="307">
        <f>I16/$I$20</f>
        <v>0.2580943409624506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23"/>
      <c r="B17" s="423"/>
      <c r="C17" s="154" t="s">
        <v>7</v>
      </c>
      <c r="D17" s="313">
        <v>359382</v>
      </c>
      <c r="E17" s="129">
        <v>30922.481031619998</v>
      </c>
      <c r="F17" s="129">
        <v>337673.12570275302</v>
      </c>
      <c r="G17" s="307">
        <f t="shared" si="3"/>
        <v>0.32324896045188162</v>
      </c>
      <c r="H17" s="307">
        <f t="shared" si="4"/>
        <v>0.14738307590743491</v>
      </c>
      <c r="I17" s="313">
        <v>26950.44199354625</v>
      </c>
      <c r="J17" s="129">
        <v>294815.76551644929</v>
      </c>
      <c r="K17" s="307">
        <f>I17/$I$20</f>
        <v>0.31923305534037771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23"/>
      <c r="B18" s="423"/>
      <c r="C18" s="154" t="s">
        <v>92</v>
      </c>
      <c r="D18" s="313">
        <v>41</v>
      </c>
      <c r="E18" s="129">
        <v>1242.5604582159999</v>
      </c>
      <c r="F18" s="129">
        <v>13568.74545</v>
      </c>
      <c r="G18" s="307">
        <f t="shared" si="3"/>
        <v>1.2989138096849963E-2</v>
      </c>
      <c r="H18" s="307">
        <f>(E18-I18)/I18</f>
        <v>0.10913077656262478</v>
      </c>
      <c r="I18" s="313">
        <v>1120.3011263170383</v>
      </c>
      <c r="J18" s="129">
        <v>12255.1769</v>
      </c>
      <c r="K18" s="307">
        <f>I18/$I$20</f>
        <v>1.3270177592675363E-2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23"/>
      <c r="B19" s="423"/>
      <c r="C19" s="154" t="s">
        <v>93</v>
      </c>
      <c r="D19" s="313"/>
      <c r="E19" s="129">
        <v>1581.2543292360001</v>
      </c>
      <c r="F19" s="129">
        <v>17267.2785</v>
      </c>
      <c r="G19" s="307">
        <f t="shared" si="3"/>
        <v>1.6529683294587708E-2</v>
      </c>
      <c r="H19" s="307">
        <f t="shared" ref="H19" si="6">(E19-I19)/I19</f>
        <v>8.4373796707073762E-2</v>
      </c>
      <c r="I19" s="313">
        <v>1458.218866997531</v>
      </c>
      <c r="J19" s="129">
        <v>15951.72026</v>
      </c>
      <c r="K19" s="307">
        <f t="shared" si="5"/>
        <v>1.7272876800242479E-2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24"/>
      <c r="B20" s="424"/>
      <c r="C20" s="318" t="s">
        <v>0</v>
      </c>
      <c r="D20" s="321">
        <v>398058</v>
      </c>
      <c r="E20" s="319">
        <v>95661.501860338001</v>
      </c>
      <c r="F20" s="319">
        <v>1044622.490355026</v>
      </c>
      <c r="G20" s="320">
        <f>SUM(G14:G19)</f>
        <v>1</v>
      </c>
      <c r="H20" s="320">
        <f>(E20-I20)/I20</f>
        <v>0.13312848541177372</v>
      </c>
      <c r="I20" s="321">
        <v>84422.466729865191</v>
      </c>
      <c r="J20" s="319">
        <v>923512.59992304049</v>
      </c>
      <c r="K20" s="320">
        <f>SUM(K14:K19)</f>
        <v>1.0000000000000002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22" t="str">
        <f>'3.1'!F5</f>
        <v>Prosinec</v>
      </c>
      <c r="B21" s="422"/>
      <c r="C21" s="164" t="s">
        <v>4</v>
      </c>
      <c r="D21" s="312">
        <v>136</v>
      </c>
      <c r="E21" s="308">
        <v>20673.050702289998</v>
      </c>
      <c r="F21" s="308">
        <v>225154.83959000002</v>
      </c>
      <c r="G21" s="309">
        <f>E21/$E$27</f>
        <v>0.18289459701059588</v>
      </c>
      <c r="H21" s="309">
        <f>(E21-I21)/I21</f>
        <v>3.6830990422441659E-2</v>
      </c>
      <c r="I21" s="312">
        <v>19938.689037320408</v>
      </c>
      <c r="J21" s="308">
        <v>216690.36851445923</v>
      </c>
      <c r="K21" s="309">
        <f>I21/$I$27</f>
        <v>0.18702798889396846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23"/>
      <c r="B22" s="423"/>
      <c r="C22" s="154" t="s">
        <v>5</v>
      </c>
      <c r="D22" s="313">
        <v>1411</v>
      </c>
      <c r="E22" s="129">
        <v>21034.849175595999</v>
      </c>
      <c r="F22" s="129">
        <v>229095.23418999999</v>
      </c>
      <c r="G22" s="307">
        <f t="shared" ref="G22:G26" si="7">E22/$E$27</f>
        <v>0.18609543015937829</v>
      </c>
      <c r="H22" s="307">
        <f t="shared" ref="H22:H26" si="8">(E22-I22)/I22</f>
        <v>2.6794103426011E-2</v>
      </c>
      <c r="I22" s="313">
        <v>20485.946603521505</v>
      </c>
      <c r="J22" s="129">
        <v>223757.1918899999</v>
      </c>
      <c r="K22" s="307">
        <f t="shared" ref="K22:K26" si="9">I22/$I$27</f>
        <v>0.19216134955885569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23"/>
      <c r="B23" s="423"/>
      <c r="C23" s="154" t="s">
        <v>6</v>
      </c>
      <c r="D23" s="313">
        <v>37173</v>
      </c>
      <c r="E23" s="129">
        <v>30544.930971742</v>
      </c>
      <c r="F23" s="129">
        <v>332671.656253514</v>
      </c>
      <c r="G23" s="307">
        <f t="shared" si="7"/>
        <v>0.27023117783842093</v>
      </c>
      <c r="H23" s="307">
        <f t="shared" si="8"/>
        <v>7.7055030882904815E-2</v>
      </c>
      <c r="I23" s="313">
        <v>28359.675314550183</v>
      </c>
      <c r="J23" s="129">
        <v>310201.67168945592</v>
      </c>
      <c r="K23" s="307">
        <f t="shared" si="9"/>
        <v>0.26601814341145186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23"/>
      <c r="B24" s="423"/>
      <c r="C24" s="154" t="s">
        <v>7</v>
      </c>
      <c r="D24" s="313">
        <v>359145</v>
      </c>
      <c r="E24" s="129">
        <v>37814.322978037002</v>
      </c>
      <c r="F24" s="129">
        <v>411844.22603040101</v>
      </c>
      <c r="G24" s="307">
        <f t="shared" si="7"/>
        <v>0.33454353021687744</v>
      </c>
      <c r="H24" s="307">
        <f t="shared" si="8"/>
        <v>7.0793447277350569E-2</v>
      </c>
      <c r="I24" s="313">
        <v>35314.301814402643</v>
      </c>
      <c r="J24" s="129">
        <v>386163.77279267251</v>
      </c>
      <c r="K24" s="307">
        <f t="shared" si="9"/>
        <v>0.33125361628238587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23"/>
      <c r="B25" s="423"/>
      <c r="C25" s="154" t="s">
        <v>92</v>
      </c>
      <c r="D25" s="313">
        <v>41</v>
      </c>
      <c r="E25" s="129">
        <v>1245</v>
      </c>
      <c r="F25" s="129">
        <v>13554.251689999999</v>
      </c>
      <c r="G25" s="307">
        <f t="shared" si="7"/>
        <v>1.1014522073075969E-2</v>
      </c>
      <c r="H25" s="307">
        <f t="shared" si="8"/>
        <v>5.6510732003125071E-2</v>
      </c>
      <c r="I25" s="313">
        <v>1178.4073386926252</v>
      </c>
      <c r="J25" s="129">
        <v>12553.640069999999</v>
      </c>
      <c r="K25" s="307">
        <f t="shared" si="9"/>
        <v>1.1053643207988689E-2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23"/>
      <c r="B26" s="423"/>
      <c r="C26" s="154" t="s">
        <v>93</v>
      </c>
      <c r="D26" s="313"/>
      <c r="E26" s="129">
        <v>1720.440027977</v>
      </c>
      <c r="F26" s="129">
        <v>18743.1417</v>
      </c>
      <c r="G26" s="307">
        <f t="shared" si="7"/>
        <v>1.5220742701651489E-2</v>
      </c>
      <c r="H26" s="307">
        <f t="shared" si="8"/>
        <v>0.29256382884812188</v>
      </c>
      <c r="I26" s="313">
        <v>1331.0290676400741</v>
      </c>
      <c r="J26" s="129">
        <v>14362.820146000016</v>
      </c>
      <c r="K26" s="307">
        <f t="shared" si="9"/>
        <v>1.2485258645349353E-2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24"/>
      <c r="B27" s="424"/>
      <c r="C27" s="318" t="s">
        <v>0</v>
      </c>
      <c r="D27" s="321">
        <v>397906</v>
      </c>
      <c r="E27" s="319">
        <v>113032.593855642</v>
      </c>
      <c r="F27" s="319">
        <v>1231063.3494539151</v>
      </c>
      <c r="G27" s="320">
        <f>SUM(G21:G26)</f>
        <v>1</v>
      </c>
      <c r="H27" s="320">
        <f>(E27-I27)/I27</f>
        <v>6.0263223360372598E-2</v>
      </c>
      <c r="I27" s="321">
        <v>106608.04917612745</v>
      </c>
      <c r="J27" s="319">
        <v>1163729.4651025876</v>
      </c>
      <c r="K27" s="320">
        <f>SUM(K21:K26)</f>
        <v>1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492" t="str">
        <f>'3.1'!G5</f>
        <v>IV. čtvrtletí</v>
      </c>
      <c r="B28" s="492"/>
      <c r="C28" s="164" t="s">
        <v>4</v>
      </c>
      <c r="D28" s="312">
        <f>D21</f>
        <v>136</v>
      </c>
      <c r="E28" s="308">
        <f>E7+E14+E21</f>
        <v>51407.320276767001</v>
      </c>
      <c r="F28" s="308">
        <f>F7+F14+F21</f>
        <v>561134.02925000002</v>
      </c>
      <c r="G28" s="309">
        <f>E28/$E$34</f>
        <v>0.19613689752640939</v>
      </c>
      <c r="H28" s="309">
        <f>(E28-I28)/I28</f>
        <v>9.7563693038725877E-2</v>
      </c>
      <c r="I28" s="312">
        <f>I7+I14+I21</f>
        <v>46837.664732185316</v>
      </c>
      <c r="J28" s="308">
        <f>J7+J14+J21</f>
        <v>511348.58168445923</v>
      </c>
      <c r="K28" s="309">
        <f>I28/$I$34</f>
        <v>0.20175147022921533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93"/>
      <c r="B29" s="493"/>
      <c r="C29" s="154" t="s">
        <v>5</v>
      </c>
      <c r="D29" s="313">
        <f t="shared" ref="D29:D32" si="10">D22</f>
        <v>1411</v>
      </c>
      <c r="E29" s="129">
        <f>E8+E15+E22</f>
        <v>48941.589198276997</v>
      </c>
      <c r="F29" s="129">
        <f t="shared" ref="F29" si="11">F8+F15+F22</f>
        <v>534136.23800000001</v>
      </c>
      <c r="G29" s="307">
        <f t="shared" ref="G29:G33" si="12">E29/$E$34</f>
        <v>0.18672927150611199</v>
      </c>
      <c r="H29" s="307">
        <f t="shared" ref="H29:H31" si="13">(E29-I29)/I29</f>
        <v>9.9864715551152977E-2</v>
      </c>
      <c r="I29" s="313">
        <f>I8+I15+I22</f>
        <v>44497.826420181038</v>
      </c>
      <c r="J29" s="129">
        <f t="shared" ref="J29" si="14">J8+J15+J22</f>
        <v>486738.53894999984</v>
      </c>
      <c r="K29" s="307">
        <f t="shared" ref="K29:K33" si="15">I29/$I$34</f>
        <v>0.19167270515318624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93"/>
      <c r="B30" s="493"/>
      <c r="C30" s="154" t="s">
        <v>6</v>
      </c>
      <c r="D30" s="313">
        <f t="shared" si="10"/>
        <v>37173</v>
      </c>
      <c r="E30" s="129">
        <f t="shared" ref="E30:F33" si="16">E9+E16+E23</f>
        <v>68672.348002804007</v>
      </c>
      <c r="F30" s="129">
        <f t="shared" si="16"/>
        <v>749412.73570361803</v>
      </c>
      <c r="G30" s="307">
        <f t="shared" si="12"/>
        <v>0.26200901370871787</v>
      </c>
      <c r="H30" s="307">
        <f t="shared" si="13"/>
        <v>0.15511551220909864</v>
      </c>
      <c r="I30" s="313">
        <f t="shared" ref="I30:J32" si="17">I9+I16+I23</f>
        <v>59450.632665707773</v>
      </c>
      <c r="J30" s="129">
        <f t="shared" si="17"/>
        <v>650685.49802390533</v>
      </c>
      <c r="K30" s="307">
        <f t="shared" si="15"/>
        <v>0.25608135279471989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93"/>
      <c r="B31" s="493"/>
      <c r="C31" s="154" t="s">
        <v>7</v>
      </c>
      <c r="D31" s="313">
        <f t="shared" si="10"/>
        <v>359145</v>
      </c>
      <c r="E31" s="129">
        <f>E10+E17+E24</f>
        <v>84955.311178539996</v>
      </c>
      <c r="F31" s="129">
        <f t="shared" si="16"/>
        <v>927112.35026924603</v>
      </c>
      <c r="G31" s="307">
        <f t="shared" si="12"/>
        <v>0.32413421032724266</v>
      </c>
      <c r="H31" s="307">
        <f t="shared" si="13"/>
        <v>0.14679448558843519</v>
      </c>
      <c r="I31" s="313">
        <f>I10+I17+I24</f>
        <v>74080.67639508078</v>
      </c>
      <c r="J31" s="129">
        <f t="shared" si="17"/>
        <v>810711.51224826602</v>
      </c>
      <c r="K31" s="307">
        <f t="shared" si="15"/>
        <v>0.31909971309931578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93"/>
      <c r="B32" s="493"/>
      <c r="C32" s="154" t="s">
        <v>92</v>
      </c>
      <c r="D32" s="313">
        <f t="shared" si="10"/>
        <v>41</v>
      </c>
      <c r="E32" s="129">
        <f>E11+E18+E25</f>
        <v>3715.6417368929997</v>
      </c>
      <c r="F32" s="129">
        <f t="shared" si="16"/>
        <v>40570.664709999997</v>
      </c>
      <c r="G32" s="307">
        <f t="shared" si="12"/>
        <v>1.4176472118567015E-2</v>
      </c>
      <c r="H32" s="307">
        <f>(E32-I32)/I32</f>
        <v>8.5351991524956108E-2</v>
      </c>
      <c r="I32" s="313">
        <f>I11+I18+I25</f>
        <v>3423.4439756934503</v>
      </c>
      <c r="J32" s="129">
        <f t="shared" si="17"/>
        <v>37157.749810000001</v>
      </c>
      <c r="K32" s="307">
        <f t="shared" si="15"/>
        <v>1.4746355508815272E-2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93"/>
      <c r="B33" s="493"/>
      <c r="C33" s="154" t="s">
        <v>93</v>
      </c>
      <c r="D33" s="313"/>
      <c r="E33" s="129">
        <f t="shared" si="16"/>
        <v>4406.9709698030001</v>
      </c>
      <c r="F33" s="129">
        <f t="shared" si="16"/>
        <v>48113.358919999999</v>
      </c>
      <c r="G33" s="307">
        <f t="shared" si="12"/>
        <v>1.6814134812951045E-2</v>
      </c>
      <c r="H33" s="307">
        <f t="shared" ref="H33" si="18">(E33-I33)/I33</f>
        <v>0.14022111374902047</v>
      </c>
      <c r="I33" s="313">
        <f t="shared" ref="I33:J33" si="19">I12+I19+I26</f>
        <v>3865.0143526223455</v>
      </c>
      <c r="J33" s="129">
        <f t="shared" si="19"/>
        <v>42125.82147700002</v>
      </c>
      <c r="K33" s="307">
        <f t="shared" si="15"/>
        <v>1.6648403214747445E-2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94"/>
      <c r="B34" s="494"/>
      <c r="C34" s="318" t="s">
        <v>0</v>
      </c>
      <c r="D34" s="321">
        <f>SUM(D28:D33)</f>
        <v>397906</v>
      </c>
      <c r="E34" s="319">
        <f>SUM(E28:E33)</f>
        <v>262099.181363084</v>
      </c>
      <c r="F34" s="319">
        <f>SUM(F28:F33)</f>
        <v>2860479.3768528644</v>
      </c>
      <c r="G34" s="320">
        <f>SUM(G28:G33)</f>
        <v>0.99999999999999989</v>
      </c>
      <c r="H34" s="320">
        <f>(E34-I34)/I34</f>
        <v>0.12898231558370796</v>
      </c>
      <c r="I34" s="321">
        <f>SUM(I28:I33)</f>
        <v>232155.25854147071</v>
      </c>
      <c r="J34" s="319">
        <f>SUM(J28:J33)</f>
        <v>2538767.7021936304</v>
      </c>
      <c r="K34" s="320">
        <f>SUM(K28:K33)</f>
        <v>1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303"/>
      <c r="C35" s="101"/>
      <c r="D35" s="88"/>
      <c r="E35" s="88"/>
      <c r="F35" s="88"/>
      <c r="G35" s="476" t="s">
        <v>268</v>
      </c>
      <c r="H35" s="476"/>
      <c r="I35" s="476"/>
      <c r="J35" s="476"/>
      <c r="K35" s="476"/>
    </row>
    <row r="36" spans="1:20" ht="15" customHeight="1">
      <c r="A36" s="468" t="s">
        <v>267</v>
      </c>
      <c r="B36" s="468"/>
      <c r="C36" s="468"/>
      <c r="D36" s="468"/>
      <c r="E36" s="468"/>
      <c r="F36" s="119"/>
      <c r="G36" s="476"/>
      <c r="H36" s="476"/>
      <c r="I36" s="476"/>
      <c r="J36" s="476"/>
      <c r="K36" s="476"/>
      <c r="M36" s="93"/>
      <c r="N36" s="93"/>
      <c r="O36" s="93"/>
      <c r="P36" s="93"/>
      <c r="Q36" s="93"/>
      <c r="R36" s="93"/>
      <c r="S36" s="93"/>
    </row>
    <row r="37" spans="1:20" ht="15" customHeight="1">
      <c r="A37" s="469" t="str">
        <f>A28</f>
        <v>IV. čtvrtletí</v>
      </c>
      <c r="B37" s="470"/>
      <c r="C37" s="470"/>
      <c r="D37" s="470"/>
      <c r="E37" s="470"/>
      <c r="F37" s="125"/>
      <c r="G37" s="471" t="str">
        <f>A28</f>
        <v>IV. čtvrtletí</v>
      </c>
      <c r="H37" s="471"/>
      <c r="I37" s="471"/>
      <c r="J37" s="471"/>
      <c r="K37" s="471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2024</v>
      </c>
      <c r="D41" s="94">
        <f>I3</f>
        <v>2023</v>
      </c>
      <c r="E41" s="76"/>
      <c r="F41" s="76"/>
      <c r="G41" s="76"/>
      <c r="H41" s="94"/>
      <c r="I41" s="94">
        <f>D3</f>
        <v>2024</v>
      </c>
      <c r="J41" s="94">
        <f>I3</f>
        <v>2023</v>
      </c>
      <c r="K41" s="94"/>
    </row>
    <row r="42" spans="1:20" ht="15" customHeight="1">
      <c r="A42" s="94"/>
      <c r="B42" s="94" t="str">
        <f>A7</f>
        <v>Říjen</v>
      </c>
      <c r="C42" s="78">
        <f>E13</f>
        <v>53405.085647103995</v>
      </c>
      <c r="D42" s="78">
        <f>I13</f>
        <v>41124.742635478062</v>
      </c>
      <c r="E42" s="76"/>
      <c r="F42" s="76"/>
      <c r="G42" s="76"/>
      <c r="H42" s="94" t="str">
        <f>A7</f>
        <v>Říjen</v>
      </c>
      <c r="I42" s="95">
        <f>E13/E34</f>
        <v>0.20375907078138614</v>
      </c>
      <c r="J42" s="95">
        <f>I13/I34</f>
        <v>0.17714327426329568</v>
      </c>
      <c r="K42" s="94"/>
    </row>
    <row r="43" spans="1:20" ht="15" customHeight="1">
      <c r="A43" s="94"/>
      <c r="B43" s="94" t="str">
        <f>A14</f>
        <v>Listopad</v>
      </c>
      <c r="C43" s="78">
        <f>E20</f>
        <v>95661.501860338001</v>
      </c>
      <c r="D43" s="78">
        <f>I20</f>
        <v>84422.466729865191</v>
      </c>
      <c r="E43" s="76"/>
      <c r="F43" s="76"/>
      <c r="G43" s="76"/>
      <c r="H43" s="94" t="str">
        <f>A14</f>
        <v>Listopad</v>
      </c>
      <c r="I43" s="95">
        <f>E20/E34</f>
        <v>0.36498207038586222</v>
      </c>
      <c r="J43" s="95">
        <f>I20/I34</f>
        <v>0.36364658401560396</v>
      </c>
      <c r="K43" s="94"/>
    </row>
    <row r="44" spans="1:20" ht="15" customHeight="1">
      <c r="A44" s="94"/>
      <c r="B44" s="94" t="str">
        <f>A21</f>
        <v>Prosinec</v>
      </c>
      <c r="C44" s="78">
        <f>E27</f>
        <v>113032.593855642</v>
      </c>
      <c r="D44" s="78">
        <f>I27</f>
        <v>106608.04917612745</v>
      </c>
      <c r="E44" s="76"/>
      <c r="F44" s="76"/>
      <c r="G44" s="76"/>
      <c r="H44" s="94" t="str">
        <f>A21</f>
        <v>Prosinec</v>
      </c>
      <c r="I44" s="95">
        <f>E27/E34</f>
        <v>0.43125885883275161</v>
      </c>
      <c r="J44" s="95">
        <f>I27/I34</f>
        <v>0.45921014172110031</v>
      </c>
      <c r="K44" s="94"/>
    </row>
    <row r="45" spans="1:20" ht="15" customHeight="1">
      <c r="A45" s="94"/>
      <c r="B45" s="94"/>
      <c r="C45" s="78">
        <f>SUM(C42:C44)</f>
        <v>262099.181363084</v>
      </c>
      <c r="D45" s="78">
        <f>SUM(D42:D44)</f>
        <v>232155.25854147068</v>
      </c>
      <c r="E45" s="94"/>
      <c r="F45" s="94"/>
      <c r="G45" s="94"/>
      <c r="H45" s="94"/>
      <c r="I45" s="96">
        <f>SUM(I42:I44)</f>
        <v>1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D5:D6"/>
    <mergeCell ref="C5:C6"/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  <mergeCell ref="A1:K1"/>
    <mergeCell ref="A2:C2"/>
    <mergeCell ref="E3:G4"/>
    <mergeCell ref="I3:K4"/>
    <mergeCell ref="A3:C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5"/>
  <dimension ref="A1:U92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62" t="s">
        <v>295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</row>
    <row r="2" spans="1:21" ht="6" customHeight="1">
      <c r="A2" s="477"/>
      <c r="B2" s="477"/>
      <c r="C2" s="477"/>
      <c r="D2" s="315"/>
      <c r="E2" s="315"/>
      <c r="F2" s="316"/>
      <c r="G2" s="317"/>
      <c r="H2" s="317"/>
      <c r="I2" s="317"/>
      <c r="J2" s="279"/>
      <c r="K2" s="279"/>
    </row>
    <row r="3" spans="1:21" ht="15" customHeight="1">
      <c r="A3" s="488" t="s">
        <v>87</v>
      </c>
      <c r="B3" s="488"/>
      <c r="C3" s="488"/>
      <c r="D3" s="341">
        <f>'3.1'!A4</f>
        <v>2024</v>
      </c>
      <c r="E3" s="483"/>
      <c r="F3" s="483"/>
      <c r="G3" s="483"/>
      <c r="H3" s="340"/>
      <c r="I3" s="482">
        <f>D3-1</f>
        <v>2023</v>
      </c>
      <c r="J3" s="483"/>
      <c r="K3" s="483"/>
    </row>
    <row r="4" spans="1:21" ht="50.15" customHeight="1">
      <c r="A4" s="489"/>
      <c r="B4" s="489"/>
      <c r="C4" s="489"/>
      <c r="D4" s="343"/>
      <c r="E4" s="485"/>
      <c r="F4" s="485"/>
      <c r="G4" s="485"/>
      <c r="H4" s="174"/>
      <c r="I4" s="484"/>
      <c r="J4" s="485"/>
      <c r="K4" s="485"/>
    </row>
    <row r="5" spans="1:21" ht="25" customHeight="1">
      <c r="A5" s="488" t="s">
        <v>157</v>
      </c>
      <c r="B5" s="488"/>
      <c r="C5" s="490" t="s">
        <v>183</v>
      </c>
      <c r="D5" s="486" t="s">
        <v>158</v>
      </c>
      <c r="E5" s="480" t="s">
        <v>60</v>
      </c>
      <c r="F5" s="480"/>
      <c r="G5" s="481" t="s">
        <v>33</v>
      </c>
      <c r="H5" s="481" t="s">
        <v>266</v>
      </c>
      <c r="I5" s="478" t="s">
        <v>60</v>
      </c>
      <c r="J5" s="479"/>
      <c r="K5" s="481" t="s">
        <v>33</v>
      </c>
    </row>
    <row r="6" spans="1:21" ht="22.5" customHeight="1">
      <c r="A6" s="489"/>
      <c r="B6" s="489"/>
      <c r="C6" s="491"/>
      <c r="D6" s="487"/>
      <c r="E6" s="219" t="s">
        <v>257</v>
      </c>
      <c r="F6" s="219" t="s">
        <v>258</v>
      </c>
      <c r="G6" s="467"/>
      <c r="H6" s="467"/>
      <c r="I6" s="221" t="s">
        <v>257</v>
      </c>
      <c r="J6" s="219" t="s">
        <v>258</v>
      </c>
      <c r="K6" s="467"/>
    </row>
    <row r="7" spans="1:21" ht="13" customHeight="1">
      <c r="A7" s="422" t="str">
        <f>'3.1'!D5</f>
        <v>Říjen</v>
      </c>
      <c r="B7" s="422"/>
      <c r="C7" s="164" t="s">
        <v>4</v>
      </c>
      <c r="D7" s="312">
        <v>1220</v>
      </c>
      <c r="E7" s="308">
        <v>236197.97700000001</v>
      </c>
      <c r="F7" s="308">
        <v>2586484.9746400001</v>
      </c>
      <c r="G7" s="309">
        <f t="shared" ref="G7:G12" si="0">E7/$E$13</f>
        <v>0.52355769505014227</v>
      </c>
      <c r="H7" s="309">
        <f>(E7-I7)/I7</f>
        <v>6.0923353667991516E-2</v>
      </c>
      <c r="I7" s="312">
        <v>222634.34600000002</v>
      </c>
      <c r="J7" s="308">
        <v>2442917.3574000001</v>
      </c>
      <c r="K7" s="309">
        <f>I7/$I$13</f>
        <v>0.58818431910119184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23"/>
      <c r="B8" s="423"/>
      <c r="C8" s="154" t="s">
        <v>5</v>
      </c>
      <c r="D8" s="313">
        <v>4142</v>
      </c>
      <c r="E8" s="129">
        <v>38607.252</v>
      </c>
      <c r="F8" s="129">
        <v>422769.33788999991</v>
      </c>
      <c r="G8" s="307">
        <f t="shared" si="0"/>
        <v>8.5577040608353708E-2</v>
      </c>
      <c r="H8" s="307">
        <f t="shared" ref="H8:H11" si="1">(E8-I8)/I8</f>
        <v>0.2052791801345363</v>
      </c>
      <c r="I8" s="313">
        <v>32031.792000000001</v>
      </c>
      <c r="J8" s="129">
        <v>351476.65380999999</v>
      </c>
      <c r="K8" s="307">
        <f t="shared" ref="K8:K12" si="2">I8/$I$13</f>
        <v>8.4625746681111835E-2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23"/>
      <c r="B9" s="423"/>
      <c r="C9" s="154" t="s">
        <v>6</v>
      </c>
      <c r="D9" s="313">
        <v>151970</v>
      </c>
      <c r="E9" s="129">
        <v>59013.885000000002</v>
      </c>
      <c r="F9" s="129">
        <v>646233.79571999994</v>
      </c>
      <c r="G9" s="307">
        <f t="shared" si="0"/>
        <v>0.13081049210914353</v>
      </c>
      <c r="H9" s="307">
        <f t="shared" si="1"/>
        <v>0.47716204014061886</v>
      </c>
      <c r="I9" s="313">
        <v>39950.853999999999</v>
      </c>
      <c r="J9" s="129">
        <v>438370.81619000004</v>
      </c>
      <c r="K9" s="307">
        <f t="shared" si="2"/>
        <v>0.10554735277683132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23"/>
      <c r="B10" s="423"/>
      <c r="C10" s="154" t="s">
        <v>7</v>
      </c>
      <c r="D10" s="313">
        <v>2052896</v>
      </c>
      <c r="E10" s="129">
        <v>107267.00699999998</v>
      </c>
      <c r="F10" s="129">
        <v>1174623.3589999999</v>
      </c>
      <c r="G10" s="307">
        <f t="shared" si="0"/>
        <v>0.23776861958410198</v>
      </c>
      <c r="H10" s="307">
        <f t="shared" si="1"/>
        <v>0.44935828942034839</v>
      </c>
      <c r="I10" s="313">
        <v>74010</v>
      </c>
      <c r="J10" s="129">
        <v>812097.39999999991</v>
      </c>
      <c r="K10" s="307">
        <f t="shared" si="2"/>
        <v>0.19552922645942153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23"/>
      <c r="B11" s="423"/>
      <c r="C11" s="154" t="s">
        <v>92</v>
      </c>
      <c r="D11" s="313">
        <v>216</v>
      </c>
      <c r="E11" s="129">
        <v>6373.2979999999998</v>
      </c>
      <c r="F11" s="129">
        <v>69790.787089999998</v>
      </c>
      <c r="G11" s="307">
        <f t="shared" si="0"/>
        <v>1.4127086324484827E-2</v>
      </c>
      <c r="H11" s="307">
        <f t="shared" si="1"/>
        <v>2.3948806560163786E-2</v>
      </c>
      <c r="I11" s="313">
        <v>6224.2349999999988</v>
      </c>
      <c r="J11" s="129">
        <v>68297.149359999996</v>
      </c>
      <c r="K11" s="307">
        <f t="shared" si="2"/>
        <v>1.6443992093658388E-2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23"/>
      <c r="B12" s="423"/>
      <c r="C12" s="154" t="s">
        <v>93</v>
      </c>
      <c r="D12" s="313"/>
      <c r="E12" s="129">
        <v>3680.8836506539997</v>
      </c>
      <c r="F12" s="129">
        <v>40307.498999999996</v>
      </c>
      <c r="G12" s="307">
        <f t="shared" si="0"/>
        <v>8.1590663237736411E-3</v>
      </c>
      <c r="H12" s="307">
        <f>(E12-I12)/I12</f>
        <v>5.7163452652628371E-3</v>
      </c>
      <c r="I12" s="313">
        <v>3659.9620439530072</v>
      </c>
      <c r="J12" s="129">
        <v>40159.951830000013</v>
      </c>
      <c r="K12" s="307">
        <f t="shared" si="2"/>
        <v>9.6693628877850945E-3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24"/>
      <c r="B13" s="424"/>
      <c r="C13" s="318" t="s">
        <v>0</v>
      </c>
      <c r="D13" s="321">
        <v>2210444</v>
      </c>
      <c r="E13" s="319">
        <v>451140.30265065399</v>
      </c>
      <c r="F13" s="319">
        <v>4940209.7533399994</v>
      </c>
      <c r="G13" s="320">
        <f>SUM(G7:G12)</f>
        <v>0.99999999999999989</v>
      </c>
      <c r="H13" s="320">
        <f>(E13-I13)/I13</f>
        <v>0.19188102150995387</v>
      </c>
      <c r="I13" s="321">
        <v>378511.18904395303</v>
      </c>
      <c r="J13" s="319">
        <v>4153319.3285900005</v>
      </c>
      <c r="K13" s="320">
        <f>SUM(K7:K12)</f>
        <v>1.0000000000000002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22" t="str">
        <f>'3.1'!E5</f>
        <v>Listopad</v>
      </c>
      <c r="B14" s="422"/>
      <c r="C14" s="164" t="s">
        <v>4</v>
      </c>
      <c r="D14" s="312">
        <v>1222</v>
      </c>
      <c r="E14" s="308">
        <v>285794.20399999991</v>
      </c>
      <c r="F14" s="308">
        <v>3119455.5661199996</v>
      </c>
      <c r="G14" s="309">
        <f>E14/$E$20</f>
        <v>0.4230633094255572</v>
      </c>
      <c r="H14" s="309">
        <f>(E14-I14)/I14</f>
        <v>9.5517556084285651E-2</v>
      </c>
      <c r="I14" s="312">
        <v>260875.96900000004</v>
      </c>
      <c r="J14" s="308">
        <v>2851524.0464299996</v>
      </c>
      <c r="K14" s="309">
        <f>I14/$I$20</f>
        <v>0.43268970989029526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23"/>
      <c r="B15" s="423"/>
      <c r="C15" s="154" t="s">
        <v>5</v>
      </c>
      <c r="D15" s="313">
        <v>4139</v>
      </c>
      <c r="E15" s="129">
        <v>57966.380000000005</v>
      </c>
      <c r="F15" s="129">
        <v>632705.87391000008</v>
      </c>
      <c r="G15" s="307">
        <f t="shared" ref="G15:G19" si="3">E15/$E$20</f>
        <v>8.5808068235769544E-2</v>
      </c>
      <c r="H15" s="307">
        <f t="shared" ref="H15:H17" si="4">(E15-I15)/I15</f>
        <v>9.1188939558833712E-2</v>
      </c>
      <c r="I15" s="313">
        <v>53122.220999999998</v>
      </c>
      <c r="J15" s="129">
        <v>580656.83469000005</v>
      </c>
      <c r="K15" s="307">
        <f t="shared" ref="K15:K19" si="5">I15/$I$20</f>
        <v>8.8108684296705556E-2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23"/>
      <c r="B16" s="423"/>
      <c r="C16" s="154" t="s">
        <v>6</v>
      </c>
      <c r="D16" s="313">
        <v>151944</v>
      </c>
      <c r="E16" s="129">
        <v>109784.48699999999</v>
      </c>
      <c r="F16" s="129">
        <v>1198300.6507900001</v>
      </c>
      <c r="G16" s="307">
        <f t="shared" si="3"/>
        <v>0.16251480171307839</v>
      </c>
      <c r="H16" s="307">
        <f t="shared" si="4"/>
        <v>0.17037927789697091</v>
      </c>
      <c r="I16" s="313">
        <v>93802.486999999994</v>
      </c>
      <c r="J16" s="129">
        <v>1025311.60084</v>
      </c>
      <c r="K16" s="307">
        <f>I16/$I$20</f>
        <v>0.15558110255459437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23"/>
      <c r="B17" s="423"/>
      <c r="C17" s="154" t="s">
        <v>7</v>
      </c>
      <c r="D17" s="313">
        <v>2051788</v>
      </c>
      <c r="E17" s="129">
        <v>207990.8</v>
      </c>
      <c r="F17" s="129">
        <v>2270228.4000000004</v>
      </c>
      <c r="G17" s="307">
        <f t="shared" si="3"/>
        <v>0.30789034538317372</v>
      </c>
      <c r="H17" s="307">
        <f t="shared" si="4"/>
        <v>0.1475291170807333</v>
      </c>
      <c r="I17" s="313">
        <v>181251</v>
      </c>
      <c r="J17" s="129">
        <v>1981178.2570000002</v>
      </c>
      <c r="K17" s="307">
        <f>I17/$I$20</f>
        <v>0.30062348367290931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23"/>
      <c r="B18" s="423"/>
      <c r="C18" s="154" t="s">
        <v>92</v>
      </c>
      <c r="D18" s="313">
        <v>216</v>
      </c>
      <c r="E18" s="129">
        <v>6301.1719999999996</v>
      </c>
      <c r="F18" s="129">
        <v>68777.564519999985</v>
      </c>
      <c r="G18" s="307">
        <f t="shared" si="3"/>
        <v>9.3276722979996392E-3</v>
      </c>
      <c r="H18" s="307">
        <f>(E18-I18)/I18</f>
        <v>3.535930256077068E-3</v>
      </c>
      <c r="I18" s="313">
        <v>6278.9699999999993</v>
      </c>
      <c r="J18" s="129">
        <v>68632.693780000001</v>
      </c>
      <c r="K18" s="307">
        <f>I18/$I$20</f>
        <v>1.0414319563906886E-2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23"/>
      <c r="B19" s="423"/>
      <c r="C19" s="154" t="s">
        <v>93</v>
      </c>
      <c r="D19" s="313"/>
      <c r="E19" s="129">
        <v>7698.2672779260001</v>
      </c>
      <c r="F19" s="129">
        <v>84026.895479999992</v>
      </c>
      <c r="G19" s="307">
        <f t="shared" si="3"/>
        <v>1.139580294442168E-2</v>
      </c>
      <c r="H19" s="307">
        <f t="shared" ref="H19" si="6">(E19-I19)/I19</f>
        <v>1.4756015029525693E-2</v>
      </c>
      <c r="I19" s="313">
        <v>7586.3233761684169</v>
      </c>
      <c r="J19" s="129">
        <v>82922.840319999988</v>
      </c>
      <c r="K19" s="307">
        <f t="shared" si="5"/>
        <v>1.2582700021588716E-2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24"/>
      <c r="B20" s="424"/>
      <c r="C20" s="318" t="s">
        <v>0</v>
      </c>
      <c r="D20" s="321">
        <v>2209309</v>
      </c>
      <c r="E20" s="319">
        <v>675535.3102779258</v>
      </c>
      <c r="F20" s="319">
        <v>7373494.9508199999</v>
      </c>
      <c r="G20" s="320">
        <f>SUM(G14:G19)</f>
        <v>1.0000000000000002</v>
      </c>
      <c r="H20" s="320">
        <f>(E20-I20)/I20</f>
        <v>0.12044500896441813</v>
      </c>
      <c r="I20" s="321">
        <v>602916.97037616838</v>
      </c>
      <c r="J20" s="319">
        <v>6590226.2730600005</v>
      </c>
      <c r="K20" s="320">
        <f>SUM(K14:K19)</f>
        <v>1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22" t="str">
        <f>'3.1'!F5</f>
        <v>Prosinec</v>
      </c>
      <c r="B21" s="422"/>
      <c r="C21" s="164" t="s">
        <v>4</v>
      </c>
      <c r="D21" s="312">
        <v>1219</v>
      </c>
      <c r="E21" s="308">
        <v>283733.37900000002</v>
      </c>
      <c r="F21" s="308">
        <v>3088869.8069599997</v>
      </c>
      <c r="G21" s="309">
        <f>E21/$E$27</f>
        <v>0.37377894425035052</v>
      </c>
      <c r="H21" s="309">
        <f>(E21-I21)/I21</f>
        <v>8.8604272972383658E-2</v>
      </c>
      <c r="I21" s="312">
        <v>260639.59699999995</v>
      </c>
      <c r="J21" s="308">
        <v>2842402.9293899997</v>
      </c>
      <c r="K21" s="309">
        <f>I21/$I$27</f>
        <v>0.36452721225766799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23"/>
      <c r="B22" s="423"/>
      <c r="C22" s="154" t="s">
        <v>5</v>
      </c>
      <c r="D22" s="313">
        <v>4136</v>
      </c>
      <c r="E22" s="129">
        <v>64468.621999999996</v>
      </c>
      <c r="F22" s="129">
        <v>701840.45065000001</v>
      </c>
      <c r="G22" s="307">
        <f t="shared" ref="G22:G26" si="7">E22/$E$27</f>
        <v>8.4928370265646175E-2</v>
      </c>
      <c r="H22" s="307">
        <f t="shared" ref="H22:H26" si="8">(E22-I22)/I22</f>
        <v>3.8477651682994794E-2</v>
      </c>
      <c r="I22" s="313">
        <v>62079.931999999993</v>
      </c>
      <c r="J22" s="129">
        <v>677011.45146999997</v>
      </c>
      <c r="K22" s="307">
        <f t="shared" ref="K22:K26" si="9">I22/$I$27</f>
        <v>8.682420019666312E-2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23"/>
      <c r="B23" s="423"/>
      <c r="C23" s="154" t="s">
        <v>6</v>
      </c>
      <c r="D23" s="313">
        <v>152018</v>
      </c>
      <c r="E23" s="129">
        <v>133064.27299999999</v>
      </c>
      <c r="F23" s="129">
        <v>1448608.1063999999</v>
      </c>
      <c r="G23" s="307">
        <f t="shared" si="7"/>
        <v>0.17529352258332784</v>
      </c>
      <c r="H23" s="307">
        <f t="shared" si="8"/>
        <v>5.725165174772201E-2</v>
      </c>
      <c r="I23" s="313">
        <v>125858.65699999999</v>
      </c>
      <c r="J23" s="129">
        <v>1372551.66983</v>
      </c>
      <c r="K23" s="307">
        <f t="shared" si="9"/>
        <v>0.17602431059124157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23"/>
      <c r="B24" s="423"/>
      <c r="C24" s="154" t="s">
        <v>7</v>
      </c>
      <c r="D24" s="313">
        <v>2051116</v>
      </c>
      <c r="E24" s="129">
        <v>262005.79999999996</v>
      </c>
      <c r="F24" s="129">
        <v>2852331.9</v>
      </c>
      <c r="G24" s="307">
        <f t="shared" si="7"/>
        <v>0.34515590536659585</v>
      </c>
      <c r="H24" s="307">
        <f t="shared" si="8"/>
        <v>4.7951524307543104E-2</v>
      </c>
      <c r="I24" s="313">
        <v>250017.09900000005</v>
      </c>
      <c r="J24" s="129">
        <v>2726555.6129999999</v>
      </c>
      <c r="K24" s="307">
        <f t="shared" si="9"/>
        <v>0.34967072219352541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23"/>
      <c r="B25" s="423"/>
      <c r="C25" s="154" t="s">
        <v>92</v>
      </c>
      <c r="D25" s="313">
        <v>216</v>
      </c>
      <c r="E25" s="129">
        <v>5966.768</v>
      </c>
      <c r="F25" s="129">
        <v>64957.371230000012</v>
      </c>
      <c r="G25" s="307">
        <f t="shared" si="7"/>
        <v>7.8603802326224562E-3</v>
      </c>
      <c r="H25" s="307">
        <f t="shared" si="8"/>
        <v>-4.2672819411583704E-3</v>
      </c>
      <c r="I25" s="313">
        <v>5992.338999999999</v>
      </c>
      <c r="J25" s="129">
        <v>65349.351559999988</v>
      </c>
      <c r="K25" s="307">
        <f t="shared" si="9"/>
        <v>8.3808088092343913E-3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23"/>
      <c r="B26" s="423"/>
      <c r="C26" s="154" t="s">
        <v>93</v>
      </c>
      <c r="D26" s="313"/>
      <c r="E26" s="129">
        <v>9855.2251338629994</v>
      </c>
      <c r="F26" s="129">
        <v>107289.15817</v>
      </c>
      <c r="G26" s="307">
        <f t="shared" si="7"/>
        <v>1.2982877301457123E-2</v>
      </c>
      <c r="H26" s="307">
        <f t="shared" si="8"/>
        <v>-5.4166450401063972E-2</v>
      </c>
      <c r="I26" s="313">
        <v>10419.618904448815</v>
      </c>
      <c r="J26" s="129">
        <v>113630.95165000002</v>
      </c>
      <c r="K26" s="307">
        <f t="shared" si="9"/>
        <v>1.4572745951667595E-2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24"/>
      <c r="B27" s="424"/>
      <c r="C27" s="318" t="s">
        <v>0</v>
      </c>
      <c r="D27" s="321">
        <v>2208705</v>
      </c>
      <c r="E27" s="319">
        <v>759094.06713386299</v>
      </c>
      <c r="F27" s="319">
        <v>8263896.7934099985</v>
      </c>
      <c r="G27" s="320">
        <f>SUM(G21:G26)</f>
        <v>1</v>
      </c>
      <c r="H27" s="320">
        <f>(E27-I27)/I27</f>
        <v>6.1659269422681698E-2</v>
      </c>
      <c r="I27" s="321">
        <v>715007.24290444877</v>
      </c>
      <c r="J27" s="319">
        <v>7797501.9669000003</v>
      </c>
      <c r="K27" s="320">
        <f>SUM(K21:K26)</f>
        <v>1.0000000000000002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492" t="str">
        <f>'3.1'!G5</f>
        <v>IV. čtvrtletí</v>
      </c>
      <c r="B28" s="422"/>
      <c r="C28" s="164" t="s">
        <v>4</v>
      </c>
      <c r="D28" s="312">
        <f>D21</f>
        <v>1219</v>
      </c>
      <c r="E28" s="308">
        <f>E7+E14+E21</f>
        <v>805725.55999999994</v>
      </c>
      <c r="F28" s="308">
        <f>F7+F14+F21</f>
        <v>8794810.347719999</v>
      </c>
      <c r="G28" s="309">
        <f>E28/$E$34</f>
        <v>0.42726615477947455</v>
      </c>
      <c r="H28" s="309">
        <f>(E28-I28)/I28</f>
        <v>8.274629480840405E-2</v>
      </c>
      <c r="I28" s="312">
        <f>I7+I14+I21</f>
        <v>744149.91200000001</v>
      </c>
      <c r="J28" s="308">
        <f>J7+J14+J21</f>
        <v>8136844.3332199994</v>
      </c>
      <c r="K28" s="309">
        <f>I28/$I$34</f>
        <v>0.43865502392859501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23"/>
      <c r="B29" s="423"/>
      <c r="C29" s="154" t="s">
        <v>5</v>
      </c>
      <c r="D29" s="313">
        <f t="shared" ref="D29:D32" si="10">D22</f>
        <v>4136</v>
      </c>
      <c r="E29" s="129">
        <f>E8+E15+E22</f>
        <v>161042.25400000002</v>
      </c>
      <c r="F29" s="129">
        <f t="shared" ref="F29" si="11">F8+F15+F22</f>
        <v>1757315.6624499999</v>
      </c>
      <c r="G29" s="307">
        <f t="shared" ref="G29:G33" si="12">E29/$E$34</f>
        <v>8.5398686649086147E-2</v>
      </c>
      <c r="H29" s="307">
        <f t="shared" ref="H29:H31" si="13">(E29-I29)/I29</f>
        <v>9.378481979817907E-2</v>
      </c>
      <c r="I29" s="313">
        <f>I8+I15+I22</f>
        <v>147233.94500000001</v>
      </c>
      <c r="J29" s="129">
        <f t="shared" ref="J29" si="14">J8+J15+J22</f>
        <v>1609144.9399699999</v>
      </c>
      <c r="K29" s="307">
        <f t="shared" ref="K29:K33" si="15">I29/$I$34</f>
        <v>8.6790186527733459E-2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23"/>
      <c r="B30" s="423"/>
      <c r="C30" s="154" t="s">
        <v>6</v>
      </c>
      <c r="D30" s="313">
        <f t="shared" si="10"/>
        <v>152018</v>
      </c>
      <c r="E30" s="129">
        <f t="shared" ref="E30:F33" si="16">E9+E16+E23</f>
        <v>301862.64500000002</v>
      </c>
      <c r="F30" s="129">
        <f t="shared" si="16"/>
        <v>3293142.5529100001</v>
      </c>
      <c r="G30" s="307">
        <f t="shared" si="12"/>
        <v>0.16007397307925988</v>
      </c>
      <c r="H30" s="307">
        <f t="shared" si="13"/>
        <v>0.16274535585986308</v>
      </c>
      <c r="I30" s="313">
        <f t="shared" ref="I30:J32" si="17">I9+I16+I23</f>
        <v>259611.99799999996</v>
      </c>
      <c r="J30" s="129">
        <f t="shared" si="17"/>
        <v>2836234.0868600002</v>
      </c>
      <c r="K30" s="307">
        <f t="shared" si="15"/>
        <v>0.15303382471520113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23"/>
      <c r="B31" s="423"/>
      <c r="C31" s="154" t="s">
        <v>7</v>
      </c>
      <c r="D31" s="313">
        <f t="shared" si="10"/>
        <v>2051116</v>
      </c>
      <c r="E31" s="129">
        <f>E10+E17+E24</f>
        <v>577263.60699999996</v>
      </c>
      <c r="F31" s="129">
        <f t="shared" si="16"/>
        <v>6297183.659</v>
      </c>
      <c r="G31" s="307">
        <f t="shared" si="12"/>
        <v>0.30611564768656435</v>
      </c>
      <c r="H31" s="307">
        <f t="shared" si="13"/>
        <v>0.14246710503080781</v>
      </c>
      <c r="I31" s="313">
        <f>I10+I17+I24</f>
        <v>505278.09900000005</v>
      </c>
      <c r="J31" s="129">
        <f t="shared" si="17"/>
        <v>5519831.2699999996</v>
      </c>
      <c r="K31" s="307">
        <f t="shared" si="15"/>
        <v>0.29784694324796213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23"/>
      <c r="B32" s="423"/>
      <c r="C32" s="154" t="s">
        <v>92</v>
      </c>
      <c r="D32" s="313">
        <f t="shared" si="10"/>
        <v>216</v>
      </c>
      <c r="E32" s="129">
        <f>E11+E18+E25</f>
        <v>18641.237999999998</v>
      </c>
      <c r="F32" s="129">
        <f t="shared" si="16"/>
        <v>203525.72284</v>
      </c>
      <c r="G32" s="307">
        <f t="shared" si="12"/>
        <v>9.8852146140045779E-3</v>
      </c>
      <c r="H32" s="307">
        <f>(E32-I32)/I32</f>
        <v>7.8772487037958722E-3</v>
      </c>
      <c r="I32" s="313">
        <f>I11+I18+I25</f>
        <v>18495.543999999998</v>
      </c>
      <c r="J32" s="129">
        <f t="shared" si="17"/>
        <v>202279.19469999999</v>
      </c>
      <c r="K32" s="307">
        <f t="shared" si="15"/>
        <v>1.0902592562414199E-2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23"/>
      <c r="B33" s="423"/>
      <c r="C33" s="154" t="s">
        <v>93</v>
      </c>
      <c r="D33" s="313"/>
      <c r="E33" s="129">
        <f t="shared" si="16"/>
        <v>21234.376062443</v>
      </c>
      <c r="F33" s="129">
        <f t="shared" si="16"/>
        <v>231623.55264999997</v>
      </c>
      <c r="G33" s="307">
        <f t="shared" si="12"/>
        <v>1.1260323191610478E-2</v>
      </c>
      <c r="H33" s="307">
        <f t="shared" ref="H33" si="18">(E33-I33)/I33</f>
        <v>-1.9917389815013016E-2</v>
      </c>
      <c r="I33" s="313">
        <f t="shared" ref="I33:J33" si="19">I12+I19+I26</f>
        <v>21665.904324570241</v>
      </c>
      <c r="J33" s="129">
        <f t="shared" si="19"/>
        <v>236713.7438</v>
      </c>
      <c r="K33" s="307">
        <f t="shared" si="15"/>
        <v>1.2771429018094152E-2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24"/>
      <c r="B34" s="424"/>
      <c r="C34" s="318" t="s">
        <v>0</v>
      </c>
      <c r="D34" s="321">
        <f>SUM(D28:D33)</f>
        <v>2208705</v>
      </c>
      <c r="E34" s="319">
        <f>SUM(E28:E33)</f>
        <v>1885769.680062443</v>
      </c>
      <c r="F34" s="319">
        <f>SUM(F28:F33)</f>
        <v>20577601.497570001</v>
      </c>
      <c r="G34" s="320">
        <f>SUM(G28:G33)</f>
        <v>1</v>
      </c>
      <c r="H34" s="320">
        <f>(E34-I34)/I34</f>
        <v>0.11160712484450297</v>
      </c>
      <c r="I34" s="321">
        <f>SUM(I28:I33)</f>
        <v>1696435.4023245701</v>
      </c>
      <c r="J34" s="319">
        <f>SUM(J28:J33)</f>
        <v>18541047.568549998</v>
      </c>
      <c r="K34" s="320">
        <f>SUM(K28:K33)</f>
        <v>1.0000000000000002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303"/>
      <c r="C35" s="101"/>
      <c r="D35" s="88"/>
      <c r="E35" s="88"/>
      <c r="F35" s="88"/>
      <c r="G35" s="476" t="s">
        <v>268</v>
      </c>
      <c r="H35" s="476"/>
      <c r="I35" s="476"/>
      <c r="J35" s="476"/>
      <c r="K35" s="476"/>
    </row>
    <row r="36" spans="1:20" ht="15" customHeight="1">
      <c r="A36" s="468" t="s">
        <v>267</v>
      </c>
      <c r="B36" s="468"/>
      <c r="C36" s="468"/>
      <c r="D36" s="468"/>
      <c r="E36" s="468"/>
      <c r="F36" s="119"/>
      <c r="G36" s="476"/>
      <c r="H36" s="476"/>
      <c r="I36" s="476"/>
      <c r="J36" s="476"/>
      <c r="K36" s="476"/>
      <c r="M36" s="93"/>
      <c r="N36" s="93"/>
      <c r="O36" s="93"/>
      <c r="P36" s="93"/>
      <c r="Q36" s="93"/>
      <c r="R36" s="93"/>
      <c r="S36" s="93"/>
    </row>
    <row r="37" spans="1:20" ht="15" customHeight="1">
      <c r="A37" s="469" t="str">
        <f>A28</f>
        <v>IV. čtvrtletí</v>
      </c>
      <c r="B37" s="470"/>
      <c r="C37" s="470"/>
      <c r="D37" s="470"/>
      <c r="E37" s="470"/>
      <c r="F37" s="125"/>
      <c r="G37" s="471" t="str">
        <f>A28</f>
        <v>IV. čtvrtletí</v>
      </c>
      <c r="H37" s="471"/>
      <c r="I37" s="471"/>
      <c r="J37" s="471"/>
      <c r="K37" s="471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2024</v>
      </c>
      <c r="D41" s="94">
        <f>I3</f>
        <v>2023</v>
      </c>
      <c r="E41" s="76"/>
      <c r="F41" s="76"/>
      <c r="G41" s="76"/>
      <c r="H41" s="94"/>
      <c r="I41" s="94">
        <f>D3</f>
        <v>2024</v>
      </c>
      <c r="J41" s="94">
        <f>I3</f>
        <v>2023</v>
      </c>
      <c r="K41" s="94"/>
    </row>
    <row r="42" spans="1:20" ht="15" customHeight="1">
      <c r="A42" s="94"/>
      <c r="B42" s="94" t="str">
        <f>A7</f>
        <v>Říjen</v>
      </c>
      <c r="C42" s="78">
        <f>E13</f>
        <v>451140.30265065399</v>
      </c>
      <c r="D42" s="78">
        <f>I13</f>
        <v>378511.18904395303</v>
      </c>
      <c r="E42" s="76"/>
      <c r="F42" s="76"/>
      <c r="G42" s="76"/>
      <c r="H42" s="94" t="str">
        <f>A7</f>
        <v>Říjen</v>
      </c>
      <c r="I42" s="95">
        <f>E13/E34</f>
        <v>0.23923404189832742</v>
      </c>
      <c r="J42" s="95">
        <f>I13/I34</f>
        <v>0.22312148669220855</v>
      </c>
      <c r="K42" s="94"/>
    </row>
    <row r="43" spans="1:20" ht="15" customHeight="1">
      <c r="A43" s="94"/>
      <c r="B43" s="94" t="str">
        <f>A14</f>
        <v>Listopad</v>
      </c>
      <c r="C43" s="78">
        <f>E20</f>
        <v>675535.3102779258</v>
      </c>
      <c r="D43" s="78">
        <f>I20</f>
        <v>602916.97037616838</v>
      </c>
      <c r="E43" s="76"/>
      <c r="F43" s="76"/>
      <c r="G43" s="76"/>
      <c r="H43" s="94" t="str">
        <f>A14</f>
        <v>Listopad</v>
      </c>
      <c r="I43" s="95">
        <f>E20/E34</f>
        <v>0.35822789888930495</v>
      </c>
      <c r="J43" s="95">
        <f>I20/I34</f>
        <v>0.35540225672608039</v>
      </c>
      <c r="K43" s="94"/>
    </row>
    <row r="44" spans="1:20" ht="15" customHeight="1">
      <c r="A44" s="94"/>
      <c r="B44" s="94" t="str">
        <f>A21</f>
        <v>Prosinec</v>
      </c>
      <c r="C44" s="78">
        <f>E27</f>
        <v>759094.06713386299</v>
      </c>
      <c r="D44" s="78">
        <f>I27</f>
        <v>715007.24290444877</v>
      </c>
      <c r="E44" s="76"/>
      <c r="F44" s="76"/>
      <c r="G44" s="76"/>
      <c r="H44" s="94" t="str">
        <f>A21</f>
        <v>Prosinec</v>
      </c>
      <c r="I44" s="95">
        <f>E27/E34</f>
        <v>0.40253805921236752</v>
      </c>
      <c r="J44" s="95">
        <f>I27/I34</f>
        <v>0.42147625658171106</v>
      </c>
      <c r="K44" s="94"/>
    </row>
    <row r="45" spans="1:20" ht="15" customHeight="1">
      <c r="A45" s="94"/>
      <c r="B45" s="94"/>
      <c r="C45" s="78">
        <f>SUM(C42:C44)</f>
        <v>1885769.6800624428</v>
      </c>
      <c r="D45" s="78">
        <f>SUM(D42:D44)</f>
        <v>1696435.4023245703</v>
      </c>
      <c r="E45" s="94"/>
      <c r="F45" s="94"/>
      <c r="G45" s="94"/>
      <c r="H45" s="94"/>
      <c r="I45" s="96">
        <f>SUM(I42:I44)</f>
        <v>0.99999999999999989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  <mergeCell ref="D5:D6"/>
    <mergeCell ref="C5:C6"/>
    <mergeCell ref="A1:K1"/>
    <mergeCell ref="A2:C2"/>
    <mergeCell ref="E3:G4"/>
    <mergeCell ref="I3:K4"/>
    <mergeCell ref="A3:C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6"/>
  <dimension ref="A1:U92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62" t="s">
        <v>296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</row>
    <row r="2" spans="1:21" ht="6" customHeight="1">
      <c r="A2" s="477"/>
      <c r="B2" s="477"/>
      <c r="C2" s="477"/>
      <c r="D2" s="315"/>
      <c r="E2" s="315"/>
      <c r="F2" s="316"/>
      <c r="G2" s="317"/>
      <c r="H2" s="317"/>
      <c r="I2" s="317"/>
      <c r="J2" s="279"/>
      <c r="K2" s="279"/>
    </row>
    <row r="3" spans="1:21" ht="15" customHeight="1">
      <c r="A3" s="488" t="s">
        <v>205</v>
      </c>
      <c r="B3" s="488"/>
      <c r="C3" s="488"/>
      <c r="D3" s="341">
        <f>'3.1'!A4</f>
        <v>2024</v>
      </c>
      <c r="E3" s="483"/>
      <c r="F3" s="483"/>
      <c r="G3" s="483"/>
      <c r="H3" s="340"/>
      <c r="I3" s="482">
        <f>D3-1</f>
        <v>2023</v>
      </c>
      <c r="J3" s="483"/>
      <c r="K3" s="483"/>
    </row>
    <row r="4" spans="1:21" ht="50.15" customHeight="1">
      <c r="A4" s="489"/>
      <c r="B4" s="489"/>
      <c r="C4" s="489"/>
      <c r="D4" s="343"/>
      <c r="E4" s="485"/>
      <c r="F4" s="485"/>
      <c r="G4" s="485"/>
      <c r="H4" s="174"/>
      <c r="I4" s="484"/>
      <c r="J4" s="485"/>
      <c r="K4" s="485"/>
    </row>
    <row r="5" spans="1:21" ht="25" customHeight="1">
      <c r="A5" s="488" t="s">
        <v>157</v>
      </c>
      <c r="B5" s="488"/>
      <c r="C5" s="490" t="s">
        <v>183</v>
      </c>
      <c r="D5" s="486" t="s">
        <v>158</v>
      </c>
      <c r="E5" s="480" t="s">
        <v>60</v>
      </c>
      <c r="F5" s="480"/>
      <c r="G5" s="481" t="s">
        <v>33</v>
      </c>
      <c r="H5" s="481" t="s">
        <v>266</v>
      </c>
      <c r="I5" s="478" t="s">
        <v>60</v>
      </c>
      <c r="J5" s="479"/>
      <c r="K5" s="481" t="s">
        <v>33</v>
      </c>
    </row>
    <row r="6" spans="1:21" ht="22.5" customHeight="1">
      <c r="A6" s="489"/>
      <c r="B6" s="489"/>
      <c r="C6" s="491"/>
      <c r="D6" s="487"/>
      <c r="E6" s="219" t="s">
        <v>257</v>
      </c>
      <c r="F6" s="219" t="s">
        <v>258</v>
      </c>
      <c r="G6" s="467"/>
      <c r="H6" s="467"/>
      <c r="I6" s="221" t="s">
        <v>257</v>
      </c>
      <c r="J6" s="219" t="s">
        <v>258</v>
      </c>
      <c r="K6" s="467"/>
    </row>
    <row r="7" spans="1:21" ht="13" customHeight="1">
      <c r="A7" s="422" t="str">
        <f>'3.1'!D5</f>
        <v>Říjen</v>
      </c>
      <c r="B7" s="422"/>
      <c r="C7" s="164" t="s">
        <v>4</v>
      </c>
      <c r="D7" s="312">
        <v>76</v>
      </c>
      <c r="E7" s="308">
        <v>7174.0422060000001</v>
      </c>
      <c r="F7" s="308">
        <v>78641.135634999999</v>
      </c>
      <c r="G7" s="309">
        <f t="shared" ref="G7:G12" si="0">E7/$E$13</f>
        <v>0.32935188420397443</v>
      </c>
      <c r="H7" s="309">
        <f>(E7-I7)/I7</f>
        <v>-3.2213823108932296E-2</v>
      </c>
      <c r="I7" s="312">
        <v>7412.838060000001</v>
      </c>
      <c r="J7" s="308">
        <v>81444.850670000014</v>
      </c>
      <c r="K7" s="309">
        <f>I7/$I$13</f>
        <v>0.42604455868581037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23"/>
      <c r="B8" s="423"/>
      <c r="C8" s="154" t="s">
        <v>5</v>
      </c>
      <c r="D8" s="313">
        <v>351</v>
      </c>
      <c r="E8" s="129">
        <v>4413.3934509999999</v>
      </c>
      <c r="F8" s="129">
        <v>48379.177674999999</v>
      </c>
      <c r="G8" s="307">
        <f t="shared" si="0"/>
        <v>0.20261372976097752</v>
      </c>
      <c r="H8" s="307">
        <f t="shared" ref="H8:H11" si="1">(E8-I8)/I8</f>
        <v>0.76682003176237423</v>
      </c>
      <c r="I8" s="313">
        <v>2497.93039</v>
      </c>
      <c r="J8" s="129">
        <v>27444.76122</v>
      </c>
      <c r="K8" s="307">
        <f t="shared" ref="K8:K12" si="2">I8/$I$13</f>
        <v>0.1435657493151043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23"/>
      <c r="B9" s="423"/>
      <c r="C9" s="154" t="s">
        <v>6</v>
      </c>
      <c r="D9" s="313">
        <v>10728</v>
      </c>
      <c r="E9" s="129">
        <v>3794.0638600000002</v>
      </c>
      <c r="F9" s="129">
        <v>41590.148621</v>
      </c>
      <c r="G9" s="307">
        <f t="shared" si="0"/>
        <v>0.17418103284033065</v>
      </c>
      <c r="H9" s="307">
        <f t="shared" si="1"/>
        <v>0.43692212885360726</v>
      </c>
      <c r="I9" s="313">
        <v>2640.41021</v>
      </c>
      <c r="J9" s="129">
        <v>29010.182580000001</v>
      </c>
      <c r="K9" s="307">
        <f t="shared" si="2"/>
        <v>0.15175461726853881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23"/>
      <c r="B10" s="423"/>
      <c r="C10" s="154" t="s">
        <v>7</v>
      </c>
      <c r="D10" s="313">
        <v>100176</v>
      </c>
      <c r="E10" s="129">
        <v>5786.9054829999995</v>
      </c>
      <c r="F10" s="129">
        <v>63434.636209999997</v>
      </c>
      <c r="G10" s="307">
        <f t="shared" si="0"/>
        <v>0.26567006017086714</v>
      </c>
      <c r="H10" s="307">
        <f t="shared" si="1"/>
        <v>0.43692234657160028</v>
      </c>
      <c r="I10" s="313">
        <v>4027.2917299999999</v>
      </c>
      <c r="J10" s="129">
        <v>44248.412240000005</v>
      </c>
      <c r="K10" s="307">
        <f t="shared" si="2"/>
        <v>0.23146407811947581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23"/>
      <c r="B11" s="423"/>
      <c r="C11" s="154" t="s">
        <v>92</v>
      </c>
      <c r="D11" s="313">
        <v>18</v>
      </c>
      <c r="E11" s="129">
        <v>353.875</v>
      </c>
      <c r="F11" s="129">
        <v>3879.251992</v>
      </c>
      <c r="G11" s="307">
        <f t="shared" si="0"/>
        <v>1.6245987223939877E-2</v>
      </c>
      <c r="H11" s="307">
        <f t="shared" si="1"/>
        <v>-6.2590231071011457E-2</v>
      </c>
      <c r="I11" s="313">
        <v>377.50300000000004</v>
      </c>
      <c r="J11" s="129">
        <v>4147.7439999999997</v>
      </c>
      <c r="K11" s="307">
        <f t="shared" si="2"/>
        <v>2.1696561793981706E-2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23"/>
      <c r="B12" s="423"/>
      <c r="C12" s="154" t="s">
        <v>93</v>
      </c>
      <c r="D12" s="313"/>
      <c r="E12" s="129">
        <v>260.02199999999999</v>
      </c>
      <c r="F12" s="129">
        <v>2850.326</v>
      </c>
      <c r="G12" s="307">
        <f t="shared" si="0"/>
        <v>1.1937305799910404E-2</v>
      </c>
      <c r="H12" s="307">
        <f>(E12-I12)/I12</f>
        <v>-0.41335408981691429</v>
      </c>
      <c r="I12" s="313">
        <v>443.23500000000001</v>
      </c>
      <c r="J12" s="129">
        <v>4869.8478356000005</v>
      </c>
      <c r="K12" s="307">
        <f t="shared" si="2"/>
        <v>2.5474434817088821E-2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24"/>
      <c r="B13" s="424"/>
      <c r="C13" s="318" t="s">
        <v>0</v>
      </c>
      <c r="D13" s="321">
        <v>111349</v>
      </c>
      <c r="E13" s="319">
        <v>21782.302</v>
      </c>
      <c r="F13" s="319">
        <v>238774.676133</v>
      </c>
      <c r="G13" s="320">
        <f>SUM(G7:G12)</f>
        <v>1</v>
      </c>
      <c r="H13" s="320">
        <f>(E13-I13)/I13</f>
        <v>0.25191339236554744</v>
      </c>
      <c r="I13" s="321">
        <v>17399.208390000003</v>
      </c>
      <c r="J13" s="319">
        <v>191165.79854560003</v>
      </c>
      <c r="K13" s="320">
        <f>SUM(K7:K12)</f>
        <v>0.99999999999999978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22" t="str">
        <f>'3.1'!E5</f>
        <v>Listopad</v>
      </c>
      <c r="B14" s="422"/>
      <c r="C14" s="164" t="s">
        <v>4</v>
      </c>
      <c r="D14" s="312">
        <v>75</v>
      </c>
      <c r="E14" s="308">
        <v>8304.8280899999991</v>
      </c>
      <c r="F14" s="308">
        <v>90584.930366000001</v>
      </c>
      <c r="G14" s="309">
        <f>E14/$E$20</f>
        <v>0.25215252049353665</v>
      </c>
      <c r="H14" s="309">
        <f>(E14-I14)/I14</f>
        <v>-2.7064940221064471E-2</v>
      </c>
      <c r="I14" s="312">
        <v>8535.8503700000001</v>
      </c>
      <c r="J14" s="308">
        <v>93424.005920000011</v>
      </c>
      <c r="K14" s="309">
        <f>I14/$I$20</f>
        <v>0.29490639687572456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23"/>
      <c r="B15" s="423"/>
      <c r="C15" s="154" t="s">
        <v>5</v>
      </c>
      <c r="D15" s="313">
        <v>350</v>
      </c>
      <c r="E15" s="129">
        <v>5817.0505369999992</v>
      </c>
      <c r="F15" s="129">
        <v>63449.478727000002</v>
      </c>
      <c r="G15" s="307">
        <f t="shared" ref="G15:G19" si="3">E15/$E$20</f>
        <v>0.1766182200097571</v>
      </c>
      <c r="H15" s="307">
        <f t="shared" ref="H15:H17" si="4">(E15-I15)/I15</f>
        <v>0.48400600263860427</v>
      </c>
      <c r="I15" s="313">
        <v>3919.8295200000002</v>
      </c>
      <c r="J15" s="129">
        <v>42902.142100000005</v>
      </c>
      <c r="K15" s="307">
        <f t="shared" ref="K15:K19" si="5">I15/$I$20</f>
        <v>0.13542678819360571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23"/>
      <c r="B16" s="423"/>
      <c r="C16" s="154" t="s">
        <v>6</v>
      </c>
      <c r="D16" s="313">
        <v>10729</v>
      </c>
      <c r="E16" s="129">
        <v>7165.8985349999994</v>
      </c>
      <c r="F16" s="129">
        <v>78162.038278000007</v>
      </c>
      <c r="G16" s="307">
        <f t="shared" si="3"/>
        <v>0.21757215894413437</v>
      </c>
      <c r="H16" s="307">
        <f t="shared" si="4"/>
        <v>0.16869117390982488</v>
      </c>
      <c r="I16" s="313">
        <v>6131.5586999999996</v>
      </c>
      <c r="J16" s="129">
        <v>67109.296860000002</v>
      </c>
      <c r="K16" s="307">
        <f>I16/$I$20</f>
        <v>0.21184015711008786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23"/>
      <c r="B17" s="423"/>
      <c r="C17" s="154" t="s">
        <v>7</v>
      </c>
      <c r="D17" s="313">
        <v>100210</v>
      </c>
      <c r="E17" s="129">
        <v>10929.804837</v>
      </c>
      <c r="F17" s="129">
        <v>119218.60426199999</v>
      </c>
      <c r="G17" s="307">
        <f t="shared" si="3"/>
        <v>0.33185248487810648</v>
      </c>
      <c r="H17" s="307">
        <f t="shared" si="4"/>
        <v>0.16869117410767456</v>
      </c>
      <c r="I17" s="313">
        <v>9352.1753900000003</v>
      </c>
      <c r="J17" s="129">
        <v>102358.94751</v>
      </c>
      <c r="K17" s="307">
        <f>I17/$I$20</f>
        <v>0.3231097345506449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23"/>
      <c r="B18" s="423"/>
      <c r="C18" s="154" t="s">
        <v>92</v>
      </c>
      <c r="D18" s="313">
        <v>20</v>
      </c>
      <c r="E18" s="129">
        <v>348.428</v>
      </c>
      <c r="F18" s="129">
        <v>3800.3510449999999</v>
      </c>
      <c r="G18" s="307">
        <f t="shared" si="3"/>
        <v>1.0579026737026894E-2</v>
      </c>
      <c r="H18" s="307">
        <f>(E18-I18)/I18</f>
        <v>-5.6653120456582072E-2</v>
      </c>
      <c r="I18" s="313">
        <v>369.35299999999995</v>
      </c>
      <c r="J18" s="129">
        <v>4043.6620000000003</v>
      </c>
      <c r="K18" s="307">
        <f>I18/$I$20</f>
        <v>1.2760833154721698E-2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23"/>
      <c r="B19" s="423"/>
      <c r="C19" s="154" t="s">
        <v>93</v>
      </c>
      <c r="D19" s="313"/>
      <c r="E19" s="129">
        <v>369.72300000000001</v>
      </c>
      <c r="F19" s="129">
        <v>4032.7569999999996</v>
      </c>
      <c r="G19" s="307">
        <f t="shared" si="3"/>
        <v>1.1225588937438424E-2</v>
      </c>
      <c r="H19" s="307">
        <f t="shared" ref="H19" si="6">(E19-I19)/I19</f>
        <v>-0.41821989825382405</v>
      </c>
      <c r="I19" s="313">
        <v>635.50299999999993</v>
      </c>
      <c r="J19" s="129">
        <v>6955.4760000000006</v>
      </c>
      <c r="K19" s="307">
        <f t="shared" si="5"/>
        <v>2.1956090115215265E-2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24"/>
      <c r="B20" s="424"/>
      <c r="C20" s="318" t="s">
        <v>0</v>
      </c>
      <c r="D20" s="321">
        <v>111384</v>
      </c>
      <c r="E20" s="319">
        <v>32935.732999</v>
      </c>
      <c r="F20" s="319">
        <v>359248.15967800003</v>
      </c>
      <c r="G20" s="320">
        <f>SUM(G14:G19)</f>
        <v>1</v>
      </c>
      <c r="H20" s="320">
        <f>(E20-I20)/I20</f>
        <v>0.13790166488075298</v>
      </c>
      <c r="I20" s="321">
        <v>28944.269980000001</v>
      </c>
      <c r="J20" s="319">
        <v>316793.53039000009</v>
      </c>
      <c r="K20" s="320">
        <f>SUM(K14:K19)</f>
        <v>1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22" t="str">
        <f>'3.1'!F5</f>
        <v>Prosinec</v>
      </c>
      <c r="B21" s="422"/>
      <c r="C21" s="164" t="s">
        <v>4</v>
      </c>
      <c r="D21" s="312">
        <v>75</v>
      </c>
      <c r="E21" s="308">
        <v>7678.8116839999993</v>
      </c>
      <c r="F21" s="308">
        <v>83553.104997000002</v>
      </c>
      <c r="G21" s="309">
        <f>E21/$E$27</f>
        <v>0.2100599629019903</v>
      </c>
      <c r="H21" s="309">
        <f>(E21-I21)/I21</f>
        <v>-5.6048364100056085E-2</v>
      </c>
      <c r="I21" s="312">
        <v>8134.7511800000002</v>
      </c>
      <c r="J21" s="308">
        <v>88738.744359999997</v>
      </c>
      <c r="K21" s="309">
        <f>I21/$I$27</f>
        <v>0.23562282244977489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23"/>
      <c r="B22" s="423"/>
      <c r="C22" s="154" t="s">
        <v>5</v>
      </c>
      <c r="D22" s="313">
        <v>351</v>
      </c>
      <c r="E22" s="129">
        <v>5406.5280350000003</v>
      </c>
      <c r="F22" s="129">
        <v>58828.431549000001</v>
      </c>
      <c r="G22" s="307">
        <f t="shared" ref="G22:G26" si="7">E22/$E$27</f>
        <v>0.14789984768438433</v>
      </c>
      <c r="H22" s="307">
        <f t="shared" ref="H22:H26" si="8">(E22-I22)/I22</f>
        <v>0.26074477307348376</v>
      </c>
      <c r="I22" s="313">
        <v>4288.3604599999999</v>
      </c>
      <c r="J22" s="129">
        <v>46780.008829999999</v>
      </c>
      <c r="K22" s="307">
        <f t="shared" ref="K22:K26" si="9">I22/$I$27</f>
        <v>0.12421223131587104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23"/>
      <c r="B23" s="423"/>
      <c r="C23" s="154" t="s">
        <v>6</v>
      </c>
      <c r="D23" s="313">
        <v>10702</v>
      </c>
      <c r="E23" s="129">
        <v>8996.1225880000002</v>
      </c>
      <c r="F23" s="129">
        <v>97886.809872999991</v>
      </c>
      <c r="G23" s="307">
        <f t="shared" si="7"/>
        <v>0.24609604387545717</v>
      </c>
      <c r="H23" s="307">
        <f t="shared" si="8"/>
        <v>8.1773007522574048E-2</v>
      </c>
      <c r="I23" s="313">
        <v>8316.090830000001</v>
      </c>
      <c r="J23" s="129">
        <v>90716.908419999992</v>
      </c>
      <c r="K23" s="307">
        <f t="shared" si="9"/>
        <v>0.24087531993981545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23"/>
      <c r="B24" s="423"/>
      <c r="C24" s="154" t="s">
        <v>7</v>
      </c>
      <c r="D24" s="313">
        <v>100223</v>
      </c>
      <c r="E24" s="129">
        <v>13721.358694</v>
      </c>
      <c r="F24" s="129">
        <v>149303.25394700002</v>
      </c>
      <c r="G24" s="307">
        <f t="shared" si="7"/>
        <v>0.37535861235303897</v>
      </c>
      <c r="H24" s="307">
        <f t="shared" si="8"/>
        <v>8.177300819813739E-2</v>
      </c>
      <c r="I24" s="313">
        <v>12684.13853</v>
      </c>
      <c r="J24" s="129">
        <v>138367.49984</v>
      </c>
      <c r="K24" s="307">
        <f t="shared" si="9"/>
        <v>0.36739568975759856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23"/>
      <c r="B25" s="423"/>
      <c r="C25" s="154" t="s">
        <v>92</v>
      </c>
      <c r="D25" s="313">
        <v>20</v>
      </c>
      <c r="E25" s="129">
        <v>315.53199999999998</v>
      </c>
      <c r="F25" s="129">
        <v>3433.6658879999995</v>
      </c>
      <c r="G25" s="307">
        <f t="shared" si="7"/>
        <v>8.6316272545785746E-3</v>
      </c>
      <c r="H25" s="307">
        <f t="shared" si="8"/>
        <v>-5.2479219718445366E-2</v>
      </c>
      <c r="I25" s="313">
        <v>333.00800000000004</v>
      </c>
      <c r="J25" s="129">
        <v>3632.393</v>
      </c>
      <c r="K25" s="307">
        <f t="shared" si="9"/>
        <v>9.6455666709592772E-3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23"/>
      <c r="B26" s="423"/>
      <c r="C26" s="154" t="s">
        <v>93</v>
      </c>
      <c r="D26" s="313"/>
      <c r="E26" s="129">
        <v>436.97899999999998</v>
      </c>
      <c r="F26" s="129">
        <v>4754.7060000000001</v>
      </c>
      <c r="G26" s="307">
        <f t="shared" si="7"/>
        <v>1.1953905930550597E-2</v>
      </c>
      <c r="H26" s="307">
        <f t="shared" si="8"/>
        <v>-0.43110063232883711</v>
      </c>
      <c r="I26" s="313">
        <v>768.11300000000006</v>
      </c>
      <c r="J26" s="129">
        <v>8379.0397580999997</v>
      </c>
      <c r="K26" s="307">
        <f t="shared" si="9"/>
        <v>2.2248369865980826E-2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24"/>
      <c r="B27" s="424"/>
      <c r="C27" s="318" t="s">
        <v>0</v>
      </c>
      <c r="D27" s="321">
        <v>111371</v>
      </c>
      <c r="E27" s="319">
        <v>36555.332001000002</v>
      </c>
      <c r="F27" s="319">
        <v>397759.97225399996</v>
      </c>
      <c r="G27" s="320">
        <f>SUM(G21:G26)</f>
        <v>0.99999999999999989</v>
      </c>
      <c r="H27" s="320">
        <f>(E27-I27)/I27</f>
        <v>5.8824088294265178E-2</v>
      </c>
      <c r="I27" s="321">
        <v>34524.462</v>
      </c>
      <c r="J27" s="319">
        <v>376614.5942081</v>
      </c>
      <c r="K27" s="320">
        <f>SUM(K21:K26)</f>
        <v>1.0000000000000002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492" t="str">
        <f>'3.1'!G5</f>
        <v>IV. čtvrtletí</v>
      </c>
      <c r="B28" s="422"/>
      <c r="C28" s="164" t="s">
        <v>4</v>
      </c>
      <c r="D28" s="312">
        <f>D21</f>
        <v>75</v>
      </c>
      <c r="E28" s="308">
        <f>E7+E14+E21</f>
        <v>23157.681979999998</v>
      </c>
      <c r="F28" s="308">
        <f>F7+F14+F21</f>
        <v>252779.17099800002</v>
      </c>
      <c r="G28" s="309">
        <f>E28/$E$34</f>
        <v>0.25371784498757449</v>
      </c>
      <c r="H28" s="309">
        <f>(E28-I28)/I28</f>
        <v>-3.8439593554386128E-2</v>
      </c>
      <c r="I28" s="312">
        <f>I7+I14+I21</f>
        <v>24083.439610000001</v>
      </c>
      <c r="J28" s="308">
        <f>J7+J14+J21</f>
        <v>263607.60095000005</v>
      </c>
      <c r="K28" s="309">
        <f>I28/$I$34</f>
        <v>0.29781195736913268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23"/>
      <c r="B29" s="423"/>
      <c r="C29" s="154" t="s">
        <v>5</v>
      </c>
      <c r="D29" s="313">
        <f t="shared" ref="D29:D32" si="10">D22</f>
        <v>351</v>
      </c>
      <c r="E29" s="129">
        <f>E8+E15+E22</f>
        <v>15636.972022999998</v>
      </c>
      <c r="F29" s="129">
        <f t="shared" ref="F29" si="11">F8+F15+F22</f>
        <v>170657.08795099999</v>
      </c>
      <c r="G29" s="307">
        <f t="shared" ref="G29:G33" si="12">E29/$E$34</f>
        <v>0.17132020584931418</v>
      </c>
      <c r="H29" s="307">
        <f t="shared" ref="H29:H31" si="13">(E29-I29)/I29</f>
        <v>0.46056381607822305</v>
      </c>
      <c r="I29" s="313">
        <f>I8+I15+I22</f>
        <v>10706.120370000001</v>
      </c>
      <c r="J29" s="129">
        <f t="shared" ref="J29" si="14">J8+J15+J22</f>
        <v>117126.91215000002</v>
      </c>
      <c r="K29" s="307">
        <f t="shared" ref="K29:K33" si="15">I29/$I$34</f>
        <v>0.13239016996124345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23"/>
      <c r="B30" s="423"/>
      <c r="C30" s="154" t="s">
        <v>6</v>
      </c>
      <c r="D30" s="313">
        <f t="shared" si="10"/>
        <v>10702</v>
      </c>
      <c r="E30" s="129">
        <f t="shared" ref="E30:F33" si="16">E9+E16+E23</f>
        <v>19956.084983000001</v>
      </c>
      <c r="F30" s="129">
        <f t="shared" si="16"/>
        <v>217638.99677199998</v>
      </c>
      <c r="G30" s="307">
        <f t="shared" si="12"/>
        <v>0.2186408329058355</v>
      </c>
      <c r="H30" s="307">
        <f t="shared" si="13"/>
        <v>0.16783796912217488</v>
      </c>
      <c r="I30" s="313">
        <f t="shared" ref="I30:J32" si="17">I9+I16+I23</f>
        <v>17088.059740000001</v>
      </c>
      <c r="J30" s="129">
        <f t="shared" si="17"/>
        <v>186836.38785999999</v>
      </c>
      <c r="K30" s="307">
        <f t="shared" si="15"/>
        <v>0.21130821017347498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23"/>
      <c r="B31" s="423"/>
      <c r="C31" s="154" t="s">
        <v>7</v>
      </c>
      <c r="D31" s="313">
        <f t="shared" si="10"/>
        <v>100223</v>
      </c>
      <c r="E31" s="129">
        <f>E10+E17+E24</f>
        <v>30438.069014000001</v>
      </c>
      <c r="F31" s="129">
        <f t="shared" si="16"/>
        <v>331956.494419</v>
      </c>
      <c r="G31" s="307">
        <f t="shared" si="12"/>
        <v>0.33348248250773965</v>
      </c>
      <c r="H31" s="307">
        <f t="shared" si="13"/>
        <v>0.16783799688896839</v>
      </c>
      <c r="I31" s="313">
        <f>I10+I17+I24</f>
        <v>26063.605650000001</v>
      </c>
      <c r="J31" s="129">
        <f t="shared" si="17"/>
        <v>284974.85959000001</v>
      </c>
      <c r="K31" s="307">
        <f t="shared" si="15"/>
        <v>0.32229837350561424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23"/>
      <c r="B32" s="423"/>
      <c r="C32" s="154" t="s">
        <v>92</v>
      </c>
      <c r="D32" s="313">
        <f t="shared" si="10"/>
        <v>20</v>
      </c>
      <c r="E32" s="129">
        <f>E11+E18+E25</f>
        <v>1017.835</v>
      </c>
      <c r="F32" s="129">
        <f t="shared" si="16"/>
        <v>11113.268925</v>
      </c>
      <c r="G32" s="307">
        <f t="shared" si="12"/>
        <v>1.1151500524791641E-2</v>
      </c>
      <c r="H32" s="307">
        <f>(E32-I32)/I32</f>
        <v>-5.7441492632405555E-2</v>
      </c>
      <c r="I32" s="313">
        <f>I11+I18+I25</f>
        <v>1079.864</v>
      </c>
      <c r="J32" s="129">
        <f t="shared" si="17"/>
        <v>11823.798999999999</v>
      </c>
      <c r="K32" s="307">
        <f t="shared" si="15"/>
        <v>1.3353425288924544E-2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23"/>
      <c r="B33" s="423"/>
      <c r="C33" s="154" t="s">
        <v>93</v>
      </c>
      <c r="D33" s="313"/>
      <c r="E33" s="129">
        <f t="shared" si="16"/>
        <v>1066.7239999999999</v>
      </c>
      <c r="F33" s="129">
        <f t="shared" si="16"/>
        <v>11637.789000000001</v>
      </c>
      <c r="G33" s="307">
        <f t="shared" si="12"/>
        <v>1.1687133224744519E-2</v>
      </c>
      <c r="H33" s="307">
        <f t="shared" ref="H33" si="18">(E33-I33)/I33</f>
        <v>-0.42240927936254741</v>
      </c>
      <c r="I33" s="313">
        <f t="shared" ref="I33:J33" si="19">I12+I19+I26</f>
        <v>1846.8509999999999</v>
      </c>
      <c r="J33" s="129">
        <f t="shared" si="19"/>
        <v>20204.3635937</v>
      </c>
      <c r="K33" s="307">
        <f t="shared" si="15"/>
        <v>2.2837863701610187E-2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24"/>
      <c r="B34" s="424"/>
      <c r="C34" s="318" t="s">
        <v>0</v>
      </c>
      <c r="D34" s="321">
        <f>SUM(D28:D33)</f>
        <v>111371</v>
      </c>
      <c r="E34" s="319">
        <f>SUM(E28:E33)</f>
        <v>91273.366999999998</v>
      </c>
      <c r="F34" s="319">
        <f>SUM(F28:F33)</f>
        <v>995782.80806499999</v>
      </c>
      <c r="G34" s="320">
        <f>SUM(G28:G33)</f>
        <v>1</v>
      </c>
      <c r="H34" s="320">
        <f>(E34-I34)/I34</f>
        <v>0.12867183932707352</v>
      </c>
      <c r="I34" s="321">
        <f>SUM(I28:I33)</f>
        <v>80867.940369999997</v>
      </c>
      <c r="J34" s="319">
        <f>SUM(J28:J33)</f>
        <v>884573.92314370011</v>
      </c>
      <c r="K34" s="320">
        <f>SUM(K28:K33)</f>
        <v>1</v>
      </c>
      <c r="M34" s="89"/>
      <c r="N34" s="89"/>
      <c r="O34" s="89"/>
      <c r="P34" s="89"/>
      <c r="Q34" s="89"/>
      <c r="R34" s="89"/>
      <c r="S34" s="89"/>
    </row>
    <row r="35" spans="1:20" ht="20.149999999999999" customHeight="1">
      <c r="A35" s="126"/>
      <c r="B35" s="303"/>
      <c r="C35" s="101"/>
      <c r="D35" s="88"/>
      <c r="E35" s="88"/>
      <c r="F35" s="88"/>
      <c r="G35" s="476" t="s">
        <v>268</v>
      </c>
      <c r="H35" s="476"/>
      <c r="I35" s="476"/>
      <c r="J35" s="476"/>
      <c r="K35" s="476"/>
    </row>
    <row r="36" spans="1:20" ht="15" customHeight="1">
      <c r="A36" s="468" t="s">
        <v>267</v>
      </c>
      <c r="B36" s="468"/>
      <c r="C36" s="468"/>
      <c r="D36" s="468"/>
      <c r="E36" s="468"/>
      <c r="F36" s="119"/>
      <c r="G36" s="476"/>
      <c r="H36" s="476"/>
      <c r="I36" s="476"/>
      <c r="J36" s="476"/>
      <c r="K36" s="476"/>
      <c r="M36" s="93"/>
      <c r="N36" s="93"/>
      <c r="O36" s="93"/>
      <c r="P36" s="93"/>
      <c r="Q36" s="93"/>
      <c r="R36" s="93"/>
      <c r="S36" s="93"/>
    </row>
    <row r="37" spans="1:20" ht="15" customHeight="1">
      <c r="A37" s="469" t="str">
        <f>A28</f>
        <v>IV. čtvrtletí</v>
      </c>
      <c r="B37" s="470"/>
      <c r="C37" s="470"/>
      <c r="D37" s="470"/>
      <c r="E37" s="470"/>
      <c r="F37" s="125"/>
      <c r="G37" s="471" t="str">
        <f>A28</f>
        <v>IV. čtvrtletí</v>
      </c>
      <c r="H37" s="471"/>
      <c r="I37" s="471"/>
      <c r="J37" s="471"/>
      <c r="K37" s="471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2024</v>
      </c>
      <c r="D41" s="94">
        <f>I3</f>
        <v>2023</v>
      </c>
      <c r="E41" s="76"/>
      <c r="F41" s="76"/>
      <c r="G41" s="76"/>
      <c r="H41" s="94"/>
      <c r="I41" s="94">
        <f>D3</f>
        <v>2024</v>
      </c>
      <c r="J41" s="94">
        <f>I3</f>
        <v>2023</v>
      </c>
      <c r="K41" s="94"/>
    </row>
    <row r="42" spans="1:20" ht="15" customHeight="1">
      <c r="A42" s="94"/>
      <c r="B42" s="94" t="str">
        <f>A7</f>
        <v>Říjen</v>
      </c>
      <c r="C42" s="78">
        <f>E13</f>
        <v>21782.302</v>
      </c>
      <c r="D42" s="78">
        <f>I13</f>
        <v>17399.208390000003</v>
      </c>
      <c r="E42" s="76"/>
      <c r="F42" s="76"/>
      <c r="G42" s="76"/>
      <c r="H42" s="94" t="str">
        <f>A7</f>
        <v>Říjen</v>
      </c>
      <c r="I42" s="95">
        <f>E13/E34</f>
        <v>0.2386490464408966</v>
      </c>
      <c r="J42" s="95">
        <f>I13/I34</f>
        <v>0.21515582455040091</v>
      </c>
      <c r="K42" s="94"/>
    </row>
    <row r="43" spans="1:20" ht="15" customHeight="1">
      <c r="A43" s="94"/>
      <c r="B43" s="94" t="str">
        <f>A14</f>
        <v>Listopad</v>
      </c>
      <c r="C43" s="78">
        <f>E20</f>
        <v>32935.732999</v>
      </c>
      <c r="D43" s="78">
        <f>I20</f>
        <v>28944.269980000001</v>
      </c>
      <c r="E43" s="76"/>
      <c r="F43" s="76"/>
      <c r="G43" s="76"/>
      <c r="H43" s="94" t="str">
        <f>A14</f>
        <v>Listopad</v>
      </c>
      <c r="I43" s="95">
        <f>E20/E34</f>
        <v>0.36084713516704164</v>
      </c>
      <c r="J43" s="95">
        <f>I20/I34</f>
        <v>0.35792020728572443</v>
      </c>
      <c r="K43" s="94"/>
    </row>
    <row r="44" spans="1:20" ht="15" customHeight="1">
      <c r="A44" s="94"/>
      <c r="B44" s="94" t="str">
        <f>A21</f>
        <v>Prosinec</v>
      </c>
      <c r="C44" s="78">
        <f>E27</f>
        <v>36555.332001000002</v>
      </c>
      <c r="D44" s="78">
        <f>I27</f>
        <v>34524.462</v>
      </c>
      <c r="E44" s="76"/>
      <c r="F44" s="76"/>
      <c r="G44" s="76"/>
      <c r="H44" s="94" t="str">
        <f>A21</f>
        <v>Prosinec</v>
      </c>
      <c r="I44" s="95">
        <f>E27/E34</f>
        <v>0.40050381839206178</v>
      </c>
      <c r="J44" s="95">
        <f>I27/I34</f>
        <v>0.42692396816387473</v>
      </c>
      <c r="K44" s="94"/>
    </row>
    <row r="45" spans="1:20" ht="15" customHeight="1">
      <c r="A45" s="94"/>
      <c r="B45" s="94"/>
      <c r="C45" s="78">
        <f>SUM(C42:C44)</f>
        <v>91273.366999999998</v>
      </c>
      <c r="D45" s="78">
        <f>SUM(D42:D44)</f>
        <v>80867.940369999997</v>
      </c>
      <c r="E45" s="94"/>
      <c r="F45" s="94"/>
      <c r="G45" s="94"/>
      <c r="H45" s="94"/>
      <c r="I45" s="96">
        <f>SUM(I42:I44)</f>
        <v>1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 ht="1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 ht="1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</sheetData>
  <mergeCells count="21">
    <mergeCell ref="A5:B6"/>
    <mergeCell ref="A37:E37"/>
    <mergeCell ref="G37:K37"/>
    <mergeCell ref="A7:B13"/>
    <mergeCell ref="A14:B20"/>
    <mergeCell ref="A21:B27"/>
    <mergeCell ref="A28:B34"/>
    <mergeCell ref="A36:E36"/>
    <mergeCell ref="G5:G6"/>
    <mergeCell ref="H5:H6"/>
    <mergeCell ref="K5:K6"/>
    <mergeCell ref="E5:F5"/>
    <mergeCell ref="I5:J5"/>
    <mergeCell ref="G35:K36"/>
    <mergeCell ref="D5:D6"/>
    <mergeCell ref="C5:C6"/>
    <mergeCell ref="A1:K1"/>
    <mergeCell ref="A2:C2"/>
    <mergeCell ref="I3:K4"/>
    <mergeCell ref="E3:G4"/>
    <mergeCell ref="A3:C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4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"/>
  <dimension ref="A1:U90"/>
  <sheetViews>
    <sheetView showGridLines="0" topLeftCell="A1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21" s="86" customFormat="1" ht="18">
      <c r="A1" s="462" t="s">
        <v>297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</row>
    <row r="2" spans="1:21" ht="6" customHeight="1">
      <c r="A2" s="477"/>
      <c r="B2" s="477"/>
      <c r="C2" s="477"/>
      <c r="D2" s="315"/>
      <c r="E2" s="315"/>
      <c r="F2" s="316"/>
      <c r="G2" s="317"/>
      <c r="H2" s="317"/>
      <c r="I2" s="317"/>
      <c r="J2" s="279"/>
      <c r="K2" s="279"/>
    </row>
    <row r="3" spans="1:21" ht="15" customHeight="1">
      <c r="A3" s="488" t="s">
        <v>34</v>
      </c>
      <c r="B3" s="488"/>
      <c r="C3" s="488"/>
      <c r="D3" s="341">
        <f>'3.1'!A4</f>
        <v>2024</v>
      </c>
      <c r="E3" s="483"/>
      <c r="F3" s="483"/>
      <c r="G3" s="483"/>
      <c r="H3" s="340"/>
      <c r="I3" s="482">
        <f>D3-1</f>
        <v>2023</v>
      </c>
      <c r="J3" s="483"/>
      <c r="K3" s="483"/>
    </row>
    <row r="4" spans="1:21" ht="50.15" customHeight="1">
      <c r="A4" s="489"/>
      <c r="B4" s="489"/>
      <c r="C4" s="489"/>
      <c r="D4" s="343"/>
      <c r="E4" s="485"/>
      <c r="F4" s="485"/>
      <c r="G4" s="485"/>
      <c r="H4" s="174"/>
      <c r="I4" s="484"/>
      <c r="J4" s="485"/>
      <c r="K4" s="485"/>
    </row>
    <row r="5" spans="1:21" ht="25" customHeight="1">
      <c r="A5" s="488" t="s">
        <v>157</v>
      </c>
      <c r="B5" s="488"/>
      <c r="C5" s="490" t="s">
        <v>183</v>
      </c>
      <c r="D5" s="486" t="s">
        <v>158</v>
      </c>
      <c r="E5" s="480" t="s">
        <v>60</v>
      </c>
      <c r="F5" s="480"/>
      <c r="G5" s="481" t="s">
        <v>33</v>
      </c>
      <c r="H5" s="481" t="s">
        <v>266</v>
      </c>
      <c r="I5" s="478" t="s">
        <v>60</v>
      </c>
      <c r="J5" s="479"/>
      <c r="K5" s="481" t="s">
        <v>33</v>
      </c>
    </row>
    <row r="6" spans="1:21" ht="22.5" customHeight="1">
      <c r="A6" s="489"/>
      <c r="B6" s="489"/>
      <c r="C6" s="491"/>
      <c r="D6" s="487"/>
      <c r="E6" s="219" t="s">
        <v>257</v>
      </c>
      <c r="F6" s="219" t="s">
        <v>258</v>
      </c>
      <c r="G6" s="467"/>
      <c r="H6" s="467"/>
      <c r="I6" s="221" t="s">
        <v>257</v>
      </c>
      <c r="J6" s="219" t="s">
        <v>258</v>
      </c>
      <c r="K6" s="467"/>
    </row>
    <row r="7" spans="1:21" ht="13" customHeight="1">
      <c r="A7" s="422" t="str">
        <f>'3.1'!D5</f>
        <v>Říjen</v>
      </c>
      <c r="B7" s="422"/>
      <c r="C7" s="164" t="s">
        <v>4</v>
      </c>
      <c r="D7" s="312">
        <v>94</v>
      </c>
      <c r="E7" s="308">
        <v>28314.767</v>
      </c>
      <c r="F7" s="308">
        <v>309904.7992699999</v>
      </c>
      <c r="G7" s="309">
        <f t="shared" ref="G7:G12" si="0">E7/$E$13</f>
        <v>0.98131074307816557</v>
      </c>
      <c r="H7" s="309">
        <f>(E7-I7)/I7</f>
        <v>1.3024420654562541E-2</v>
      </c>
      <c r="I7" s="312">
        <v>27950.725000000002</v>
      </c>
      <c r="J7" s="308">
        <v>306509.21999999997</v>
      </c>
      <c r="K7" s="309">
        <f>I7/$I$13</f>
        <v>0.98050948856849796</v>
      </c>
      <c r="M7" s="89"/>
      <c r="N7" s="89"/>
      <c r="O7" s="89"/>
      <c r="P7" s="89"/>
      <c r="Q7" s="89"/>
      <c r="R7" s="89"/>
      <c r="S7" s="89"/>
      <c r="T7" s="89"/>
      <c r="U7" s="89"/>
    </row>
    <row r="8" spans="1:21" ht="13" customHeight="1">
      <c r="A8" s="423"/>
      <c r="B8" s="423"/>
      <c r="C8" s="154" t="s">
        <v>5</v>
      </c>
      <c r="D8" s="313">
        <v>127</v>
      </c>
      <c r="E8" s="129">
        <v>41.323999999999998</v>
      </c>
      <c r="F8" s="129">
        <v>434.03399999999999</v>
      </c>
      <c r="G8" s="307">
        <f t="shared" si="0"/>
        <v>1.4321744249903986E-3</v>
      </c>
      <c r="H8" s="307">
        <f t="shared" ref="H8:H11" si="1">(E8-I8)/I8</f>
        <v>0.29036690085870415</v>
      </c>
      <c r="I8" s="313">
        <v>32.024999999999999</v>
      </c>
      <c r="J8" s="129">
        <v>337.28399999999999</v>
      </c>
      <c r="K8" s="307">
        <f t="shared" ref="K8:K12" si="2">I8/$I$13</f>
        <v>1.1234347721358262E-3</v>
      </c>
      <c r="L8" s="93"/>
      <c r="M8" s="89"/>
      <c r="N8" s="89"/>
      <c r="O8" s="89"/>
      <c r="P8" s="89"/>
      <c r="Q8" s="89"/>
      <c r="R8" s="89"/>
      <c r="S8" s="89"/>
    </row>
    <row r="9" spans="1:21" ht="13" customHeight="1">
      <c r="A9" s="423"/>
      <c r="B9" s="423"/>
      <c r="C9" s="154" t="s">
        <v>6</v>
      </c>
      <c r="D9" s="313">
        <v>1190</v>
      </c>
      <c r="E9" s="129">
        <v>234.64200000000002</v>
      </c>
      <c r="F9" s="129">
        <v>2464.4499999999998</v>
      </c>
      <c r="G9" s="307">
        <f t="shared" si="0"/>
        <v>8.1320363814876874E-3</v>
      </c>
      <c r="H9" s="307">
        <f t="shared" si="1"/>
        <v>0.7364039339603794</v>
      </c>
      <c r="I9" s="313">
        <v>135.131</v>
      </c>
      <c r="J9" s="129">
        <v>1419.4605000000001</v>
      </c>
      <c r="K9" s="307">
        <f t="shared" si="2"/>
        <v>4.7403860794218997E-3</v>
      </c>
      <c r="L9" s="93"/>
      <c r="M9" s="89"/>
      <c r="N9" s="89"/>
      <c r="O9" s="89"/>
      <c r="P9" s="89"/>
      <c r="Q9" s="89"/>
      <c r="R9" s="89"/>
      <c r="S9" s="89"/>
    </row>
    <row r="10" spans="1:21" ht="13" customHeight="1">
      <c r="A10" s="423"/>
      <c r="B10" s="423"/>
      <c r="C10" s="154" t="s">
        <v>7</v>
      </c>
      <c r="D10" s="313">
        <v>8062</v>
      </c>
      <c r="E10" s="129">
        <v>0</v>
      </c>
      <c r="F10" s="129">
        <v>0</v>
      </c>
      <c r="G10" s="307">
        <f t="shared" si="0"/>
        <v>0</v>
      </c>
      <c r="H10" s="344" t="e">
        <f t="shared" si="1"/>
        <v>#DIV/0!</v>
      </c>
      <c r="I10" s="313">
        <v>0</v>
      </c>
      <c r="J10" s="129">
        <v>0</v>
      </c>
      <c r="K10" s="307">
        <f t="shared" si="2"/>
        <v>0</v>
      </c>
      <c r="L10" s="93"/>
      <c r="M10" s="89"/>
      <c r="N10" s="89"/>
      <c r="O10" s="89"/>
      <c r="P10" s="89"/>
      <c r="Q10" s="89"/>
      <c r="R10" s="89"/>
      <c r="S10" s="89"/>
    </row>
    <row r="11" spans="1:21" ht="13" customHeight="1">
      <c r="A11" s="423"/>
      <c r="B11" s="423"/>
      <c r="C11" s="154" t="s">
        <v>92</v>
      </c>
      <c r="D11" s="313">
        <v>8</v>
      </c>
      <c r="E11" s="129">
        <v>71.078000000000003</v>
      </c>
      <c r="F11" s="129">
        <v>742.38100000000009</v>
      </c>
      <c r="G11" s="307">
        <f t="shared" si="0"/>
        <v>2.4633649641725769E-3</v>
      </c>
      <c r="H11" s="307">
        <f t="shared" si="1"/>
        <v>2.4535736844662552</v>
      </c>
      <c r="I11" s="313">
        <v>20.581</v>
      </c>
      <c r="J11" s="129">
        <v>213.363</v>
      </c>
      <c r="K11" s="307">
        <f t="shared" si="2"/>
        <v>7.2198004825378421E-4</v>
      </c>
      <c r="L11" s="93"/>
      <c r="M11" s="89"/>
      <c r="N11" s="89"/>
      <c r="O11" s="89"/>
      <c r="P11" s="89"/>
      <c r="Q11" s="89"/>
      <c r="R11" s="89"/>
      <c r="S11" s="89"/>
    </row>
    <row r="12" spans="1:21" ht="13" customHeight="1">
      <c r="A12" s="423"/>
      <c r="B12" s="423"/>
      <c r="C12" s="154" t="s">
        <v>95</v>
      </c>
      <c r="D12" s="313">
        <v>0</v>
      </c>
      <c r="E12" s="129">
        <v>192.2163299999998</v>
      </c>
      <c r="F12" s="129">
        <v>2269.5138473690085</v>
      </c>
      <c r="G12" s="307">
        <f t="shared" si="0"/>
        <v>6.6616811511836811E-3</v>
      </c>
      <c r="H12" s="307">
        <f>(E12-I12)/I12</f>
        <v>-0.47748262403548081</v>
      </c>
      <c r="I12" s="313">
        <v>367.86590999999964</v>
      </c>
      <c r="J12" s="129">
        <v>4159.3896159999904</v>
      </c>
      <c r="K12" s="307">
        <f t="shared" si="2"/>
        <v>1.2904710531690492E-2</v>
      </c>
      <c r="L12" s="93"/>
      <c r="M12" s="89"/>
      <c r="N12" s="89"/>
      <c r="O12" s="89"/>
      <c r="P12" s="89"/>
      <c r="Q12" s="89"/>
      <c r="R12" s="89"/>
      <c r="S12" s="89"/>
    </row>
    <row r="13" spans="1:21" ht="13" customHeight="1">
      <c r="A13" s="424"/>
      <c r="B13" s="424"/>
      <c r="C13" s="318" t="s">
        <v>0</v>
      </c>
      <c r="D13" s="321">
        <v>9481</v>
      </c>
      <c r="E13" s="319">
        <v>28854.027330000001</v>
      </c>
      <c r="F13" s="319">
        <v>315815.17811736889</v>
      </c>
      <c r="G13" s="320">
        <f>SUM(G7:G12)</f>
        <v>1</v>
      </c>
      <c r="H13" s="320">
        <f>(E13-I13)/I13</f>
        <v>1.2197271465400649E-2</v>
      </c>
      <c r="I13" s="321">
        <v>28506.327910000004</v>
      </c>
      <c r="J13" s="319">
        <v>312638.71711599996</v>
      </c>
      <c r="K13" s="320">
        <f>SUM(K7:K12)</f>
        <v>1</v>
      </c>
      <c r="L13" s="93"/>
      <c r="M13" s="89"/>
      <c r="N13" s="89"/>
      <c r="O13" s="89"/>
      <c r="P13" s="89"/>
      <c r="Q13" s="89"/>
      <c r="R13" s="89"/>
      <c r="S13" s="89"/>
    </row>
    <row r="14" spans="1:21" ht="13" customHeight="1">
      <c r="A14" s="422" t="str">
        <f>'3.1'!E5</f>
        <v>Listopad</v>
      </c>
      <c r="B14" s="422"/>
      <c r="C14" s="164" t="s">
        <v>4</v>
      </c>
      <c r="D14" s="312">
        <v>93</v>
      </c>
      <c r="E14" s="308">
        <v>60590.577999999994</v>
      </c>
      <c r="F14" s="308">
        <v>661196.64416399982</v>
      </c>
      <c r="G14" s="309">
        <f>E14/$E$20</f>
        <v>0.98770635987045108</v>
      </c>
      <c r="H14" s="309">
        <f>(E14-I14)/I14</f>
        <v>3.2097789473735396</v>
      </c>
      <c r="I14" s="312">
        <v>14392.817000000001</v>
      </c>
      <c r="J14" s="308">
        <v>156844.573007</v>
      </c>
      <c r="K14" s="309">
        <f>I14/$I$20</f>
        <v>0.97048377629943827</v>
      </c>
      <c r="L14" s="93"/>
      <c r="M14" s="89"/>
      <c r="N14" s="89"/>
      <c r="O14" s="89"/>
      <c r="P14" s="89"/>
      <c r="Q14" s="89"/>
      <c r="R14" s="89"/>
      <c r="S14" s="89"/>
    </row>
    <row r="15" spans="1:21" ht="13" customHeight="1">
      <c r="A15" s="423"/>
      <c r="B15" s="423"/>
      <c r="C15" s="154" t="s">
        <v>5</v>
      </c>
      <c r="D15" s="313">
        <v>127</v>
      </c>
      <c r="E15" s="129">
        <v>79.247</v>
      </c>
      <c r="F15" s="129">
        <v>833.66099999999994</v>
      </c>
      <c r="G15" s="307">
        <f t="shared" ref="G15:G19" si="3">E15/$E$20</f>
        <v>1.2918306522947123E-3</v>
      </c>
      <c r="H15" s="307">
        <f t="shared" ref="H15:H17" si="4">(E15-I15)/I15</f>
        <v>0.2054242341273462</v>
      </c>
      <c r="I15" s="313">
        <v>65.742000000000004</v>
      </c>
      <c r="J15" s="129">
        <v>692.86099999999999</v>
      </c>
      <c r="K15" s="307">
        <f t="shared" ref="K15:K19" si="5">I15/$I$20</f>
        <v>4.4328740107984193E-3</v>
      </c>
      <c r="L15" s="97"/>
      <c r="M15" s="89"/>
      <c r="N15" s="89"/>
      <c r="O15" s="89"/>
      <c r="P15" s="89"/>
      <c r="Q15" s="89"/>
      <c r="R15" s="89"/>
      <c r="S15" s="89"/>
    </row>
    <row r="16" spans="1:21" ht="13" customHeight="1">
      <c r="A16" s="423"/>
      <c r="B16" s="423"/>
      <c r="C16" s="154" t="s">
        <v>6</v>
      </c>
      <c r="D16" s="313">
        <v>1198</v>
      </c>
      <c r="E16" s="129">
        <v>244.73399999999998</v>
      </c>
      <c r="F16" s="129">
        <v>2570.5309999999999</v>
      </c>
      <c r="G16" s="307">
        <f t="shared" si="3"/>
        <v>3.9894870829014868E-3</v>
      </c>
      <c r="H16" s="307">
        <f t="shared" si="4"/>
        <v>0.32166483952670771</v>
      </c>
      <c r="I16" s="313">
        <v>185.17099999999999</v>
      </c>
      <c r="J16" s="129">
        <v>1945.6344999999999</v>
      </c>
      <c r="K16" s="307">
        <f>I16/$I$20</f>
        <v>1.2485773378563993E-2</v>
      </c>
      <c r="L16" s="93"/>
      <c r="M16" s="89"/>
      <c r="N16" s="89"/>
      <c r="O16" s="89"/>
      <c r="P16" s="89"/>
      <c r="Q16" s="89"/>
      <c r="R16" s="89"/>
      <c r="S16" s="89"/>
    </row>
    <row r="17" spans="1:20" ht="13" customHeight="1">
      <c r="A17" s="423"/>
      <c r="B17" s="423"/>
      <c r="C17" s="154" t="s">
        <v>7</v>
      </c>
      <c r="D17" s="313">
        <v>8061</v>
      </c>
      <c r="E17" s="129">
        <v>0</v>
      </c>
      <c r="F17" s="129">
        <v>0</v>
      </c>
      <c r="G17" s="307">
        <f t="shared" si="3"/>
        <v>0</v>
      </c>
      <c r="H17" s="344" t="e">
        <f t="shared" si="4"/>
        <v>#DIV/0!</v>
      </c>
      <c r="I17" s="313">
        <v>0</v>
      </c>
      <c r="J17" s="129">
        <v>0</v>
      </c>
      <c r="K17" s="307">
        <f>I17/$I$20</f>
        <v>0</v>
      </c>
      <c r="L17" s="93"/>
      <c r="M17" s="89"/>
      <c r="N17" s="89"/>
      <c r="O17" s="89"/>
      <c r="P17" s="89"/>
      <c r="Q17" s="89"/>
      <c r="R17" s="89"/>
      <c r="S17" s="89"/>
    </row>
    <row r="18" spans="1:20" ht="13" customHeight="1">
      <c r="A18" s="423"/>
      <c r="B18" s="423"/>
      <c r="C18" s="154" t="s">
        <v>92</v>
      </c>
      <c r="D18" s="313">
        <v>8</v>
      </c>
      <c r="E18" s="129">
        <v>64.358999999999995</v>
      </c>
      <c r="F18" s="129">
        <v>671.55600000000004</v>
      </c>
      <c r="G18" s="307">
        <f t="shared" si="3"/>
        <v>1.0491366102317486E-3</v>
      </c>
      <c r="H18" s="307">
        <f>(E18-I18)/I18</f>
        <v>1.7074586681250259</v>
      </c>
      <c r="I18" s="313">
        <v>23.771000000000001</v>
      </c>
      <c r="J18" s="129">
        <v>246.48099999999999</v>
      </c>
      <c r="K18" s="307">
        <f>I18/$I$20</f>
        <v>1.6028390999770195E-3</v>
      </c>
      <c r="L18" s="93"/>
      <c r="M18" s="89"/>
      <c r="N18" s="89"/>
      <c r="O18" s="89"/>
      <c r="P18" s="89"/>
      <c r="Q18" s="89"/>
      <c r="R18" s="89"/>
      <c r="S18" s="89"/>
    </row>
    <row r="19" spans="1:20" ht="13" customHeight="1">
      <c r="A19" s="423"/>
      <c r="B19" s="423"/>
      <c r="C19" s="154" t="s">
        <v>95</v>
      </c>
      <c r="D19" s="313">
        <v>0</v>
      </c>
      <c r="E19" s="129">
        <v>365.81000999999935</v>
      </c>
      <c r="F19" s="129">
        <v>4182.8937580000011</v>
      </c>
      <c r="G19" s="307">
        <f t="shared" si="3"/>
        <v>5.9631857841209689E-3</v>
      </c>
      <c r="H19" s="307">
        <f t="shared" ref="H19" si="6">(E19-I19)/I19</f>
        <v>1.2434335368804055</v>
      </c>
      <c r="I19" s="313">
        <v>163.05810000000022</v>
      </c>
      <c r="J19" s="129">
        <v>1853.6583417000024</v>
      </c>
      <c r="K19" s="307">
        <f t="shared" si="5"/>
        <v>1.0994737211222213E-2</v>
      </c>
      <c r="L19" s="93"/>
      <c r="M19" s="89"/>
      <c r="N19" s="89"/>
      <c r="O19" s="89"/>
      <c r="P19" s="89"/>
      <c r="Q19" s="89"/>
      <c r="R19" s="89"/>
      <c r="S19" s="89"/>
    </row>
    <row r="20" spans="1:20" ht="13" customHeight="1">
      <c r="A20" s="424"/>
      <c r="B20" s="424"/>
      <c r="C20" s="318" t="s">
        <v>0</v>
      </c>
      <c r="D20" s="321">
        <v>9487</v>
      </c>
      <c r="E20" s="319">
        <v>61344.728009999992</v>
      </c>
      <c r="F20" s="319">
        <v>669455.28592199972</v>
      </c>
      <c r="G20" s="320">
        <f>SUM(G14:G19)</f>
        <v>1</v>
      </c>
      <c r="H20" s="320">
        <f>(E20-I20)/I20</f>
        <v>3.1363732544648291</v>
      </c>
      <c r="I20" s="321">
        <v>14830.559100000002</v>
      </c>
      <c r="J20" s="319">
        <v>161583.2078487</v>
      </c>
      <c r="K20" s="320">
        <f>SUM(K14:K19)</f>
        <v>1</v>
      </c>
      <c r="L20" s="93"/>
      <c r="M20" s="89"/>
      <c r="N20" s="89"/>
      <c r="O20" s="89"/>
      <c r="P20" s="89"/>
      <c r="Q20" s="89"/>
      <c r="R20" s="89"/>
      <c r="S20" s="89"/>
    </row>
    <row r="21" spans="1:20" ht="13" customHeight="1">
      <c r="A21" s="422" t="str">
        <f>'3.1'!F5</f>
        <v>Prosinec</v>
      </c>
      <c r="B21" s="422"/>
      <c r="C21" s="164" t="s">
        <v>4</v>
      </c>
      <c r="D21" s="312">
        <v>93</v>
      </c>
      <c r="E21" s="308">
        <v>33411.031000000003</v>
      </c>
      <c r="F21" s="308">
        <v>363856.94614999997</v>
      </c>
      <c r="G21" s="309">
        <f>E21/$E$27</f>
        <v>0.82370977344811802</v>
      </c>
      <c r="H21" s="309">
        <f>(E21-I21)/I21</f>
        <v>0.45505385449335622</v>
      </c>
      <c r="I21" s="312">
        <v>22962.057999999997</v>
      </c>
      <c r="J21" s="308">
        <v>250524.25369000001</v>
      </c>
      <c r="K21" s="309">
        <f>I21/$I$27</f>
        <v>0.97040746077393836</v>
      </c>
      <c r="L21" s="88"/>
      <c r="M21" s="89"/>
      <c r="N21" s="89"/>
      <c r="O21" s="89"/>
      <c r="P21" s="89"/>
      <c r="Q21" s="89"/>
      <c r="R21" s="89"/>
      <c r="S21" s="89"/>
      <c r="T21" s="88"/>
    </row>
    <row r="22" spans="1:20" ht="13" customHeight="1">
      <c r="A22" s="423"/>
      <c r="B22" s="423"/>
      <c r="C22" s="154" t="s">
        <v>5</v>
      </c>
      <c r="D22" s="313">
        <v>127</v>
      </c>
      <c r="E22" s="129">
        <v>89.491</v>
      </c>
      <c r="F22" s="129">
        <v>949.24400000000003</v>
      </c>
      <c r="G22" s="307">
        <f t="shared" ref="G22:G26" si="7">E22/$E$27</f>
        <v>2.2062956194211884E-3</v>
      </c>
      <c r="H22" s="307">
        <f t="shared" ref="H22:H26" si="8">(E22-I22)/I22</f>
        <v>7.3767442976614667E-2</v>
      </c>
      <c r="I22" s="313">
        <v>83.343000000000004</v>
      </c>
      <c r="J22" s="129">
        <v>876.72900000000004</v>
      </c>
      <c r="K22" s="307">
        <f t="shared" ref="K22:K26" si="9">I22/$I$27</f>
        <v>3.5221872971178086E-3</v>
      </c>
      <c r="L22" s="88"/>
      <c r="M22" s="89"/>
      <c r="N22" s="89"/>
      <c r="O22" s="89"/>
      <c r="P22" s="89"/>
      <c r="Q22" s="89"/>
      <c r="R22" s="89"/>
      <c r="S22" s="89"/>
      <c r="T22" s="88"/>
    </row>
    <row r="23" spans="1:20" ht="13" customHeight="1">
      <c r="A23" s="423"/>
      <c r="B23" s="423"/>
      <c r="C23" s="154" t="s">
        <v>6</v>
      </c>
      <c r="D23" s="313">
        <v>1175</v>
      </c>
      <c r="E23" s="129">
        <v>154.78699999999998</v>
      </c>
      <c r="F23" s="129">
        <v>1627.569</v>
      </c>
      <c r="G23" s="307">
        <f t="shared" si="7"/>
        <v>3.8160918979936241E-3</v>
      </c>
      <c r="H23" s="307">
        <f t="shared" si="8"/>
        <v>-5.0799958300372358E-2</v>
      </c>
      <c r="I23" s="313">
        <v>163.071</v>
      </c>
      <c r="J23" s="129">
        <v>1713.3209999999967</v>
      </c>
      <c r="K23" s="307">
        <f t="shared" si="9"/>
        <v>6.8915998311591632E-3</v>
      </c>
      <c r="L23" s="88"/>
      <c r="M23" s="89"/>
      <c r="N23" s="89"/>
      <c r="O23" s="89"/>
      <c r="P23" s="89"/>
      <c r="Q23" s="89"/>
      <c r="R23" s="89"/>
      <c r="S23" s="89"/>
      <c r="T23" s="88"/>
    </row>
    <row r="24" spans="1:20" ht="13" customHeight="1">
      <c r="A24" s="423"/>
      <c r="B24" s="423"/>
      <c r="C24" s="154" t="s">
        <v>7</v>
      </c>
      <c r="D24" s="313">
        <v>8072</v>
      </c>
      <c r="E24" s="129">
        <v>180.12799999999999</v>
      </c>
      <c r="F24" s="129">
        <v>1922.5360000000001</v>
      </c>
      <c r="G24" s="307">
        <f t="shared" si="7"/>
        <v>4.4408445244225646E-3</v>
      </c>
      <c r="H24" s="344">
        <f t="shared" si="8"/>
        <v>-5.5071186511808562E-2</v>
      </c>
      <c r="I24" s="313">
        <v>190.626</v>
      </c>
      <c r="J24" s="129">
        <v>2034.2280000000001</v>
      </c>
      <c r="K24" s="307">
        <f t="shared" si="9"/>
        <v>8.0561111995054099E-3</v>
      </c>
      <c r="L24" s="88"/>
      <c r="M24" s="89"/>
      <c r="N24" s="89"/>
      <c r="O24" s="89"/>
      <c r="P24" s="89"/>
      <c r="Q24" s="89"/>
      <c r="R24" s="89"/>
      <c r="S24" s="89"/>
      <c r="T24" s="88"/>
    </row>
    <row r="25" spans="1:20" ht="13" customHeight="1">
      <c r="A25" s="423"/>
      <c r="B25" s="423"/>
      <c r="C25" s="154" t="s">
        <v>92</v>
      </c>
      <c r="D25" s="313">
        <v>8</v>
      </c>
      <c r="E25" s="129">
        <v>54.362000000000002</v>
      </c>
      <c r="F25" s="129">
        <v>567.54899999999998</v>
      </c>
      <c r="G25" s="307">
        <f t="shared" si="7"/>
        <v>1.3402313356982785E-3</v>
      </c>
      <c r="H25" s="307">
        <f>(E25-I25)/I25</f>
        <v>4.3469066587980727</v>
      </c>
      <c r="I25" s="313">
        <v>10.167</v>
      </c>
      <c r="J25" s="129">
        <v>105.39100000000001</v>
      </c>
      <c r="K25" s="307">
        <f t="shared" si="9"/>
        <v>4.2967109715029168E-4</v>
      </c>
      <c r="L25" s="88"/>
      <c r="M25" s="89"/>
      <c r="N25" s="89"/>
      <c r="O25" s="89"/>
      <c r="P25" s="89"/>
      <c r="Q25" s="89"/>
      <c r="R25" s="89"/>
      <c r="S25" s="89"/>
      <c r="T25" s="88"/>
    </row>
    <row r="26" spans="1:20" ht="13" customHeight="1">
      <c r="A26" s="423"/>
      <c r="B26" s="423"/>
      <c r="C26" s="154" t="s">
        <v>95</v>
      </c>
      <c r="D26" s="313">
        <v>0</v>
      </c>
      <c r="E26" s="129">
        <v>6671.8552099999988</v>
      </c>
      <c r="F26" s="129">
        <v>74124.87423099998</v>
      </c>
      <c r="G26" s="307">
        <f t="shared" si="7"/>
        <v>0.16448676317434635</v>
      </c>
      <c r="H26" s="307">
        <f t="shared" si="8"/>
        <v>25.368874291014798</v>
      </c>
      <c r="I26" s="313">
        <v>253.02010000000018</v>
      </c>
      <c r="J26" s="129">
        <v>2961.117880000008</v>
      </c>
      <c r="K26" s="307">
        <f t="shared" si="9"/>
        <v>1.0692969801128809E-2</v>
      </c>
      <c r="L26" s="88"/>
      <c r="M26" s="89"/>
      <c r="N26" s="89"/>
      <c r="O26" s="89"/>
      <c r="P26" s="89"/>
      <c r="Q26" s="89"/>
      <c r="R26" s="89"/>
      <c r="S26" s="89"/>
      <c r="T26" s="88"/>
    </row>
    <row r="27" spans="1:20" ht="13" customHeight="1">
      <c r="A27" s="424"/>
      <c r="B27" s="424"/>
      <c r="C27" s="318" t="s">
        <v>0</v>
      </c>
      <c r="D27" s="321">
        <v>9475</v>
      </c>
      <c r="E27" s="319">
        <v>40561.654210000001</v>
      </c>
      <c r="F27" s="319">
        <v>443048.71838099998</v>
      </c>
      <c r="G27" s="320">
        <f>SUM(G21:G26)</f>
        <v>1</v>
      </c>
      <c r="H27" s="320">
        <f>(E27-I27)/I27</f>
        <v>0.71419007245416033</v>
      </c>
      <c r="I27" s="321">
        <v>23662.285100000001</v>
      </c>
      <c r="J27" s="319">
        <v>258215.04057000001</v>
      </c>
      <c r="K27" s="320">
        <f>SUM(K21:K26)</f>
        <v>0.99999999999999989</v>
      </c>
      <c r="M27" s="89"/>
      <c r="N27" s="89"/>
      <c r="O27" s="89"/>
      <c r="P27" s="89"/>
      <c r="Q27" s="89"/>
      <c r="R27" s="89"/>
      <c r="S27" s="89"/>
    </row>
    <row r="28" spans="1:20" ht="13" customHeight="1">
      <c r="A28" s="492" t="str">
        <f>'3.1'!G5</f>
        <v>IV. čtvrtletí</v>
      </c>
      <c r="B28" s="422"/>
      <c r="C28" s="164" t="s">
        <v>4</v>
      </c>
      <c r="D28" s="312">
        <f>D21</f>
        <v>93</v>
      </c>
      <c r="E28" s="308">
        <f>E7+E14+E21</f>
        <v>122316.376</v>
      </c>
      <c r="F28" s="308">
        <f>F7+F14+F21</f>
        <v>1334958.3895839998</v>
      </c>
      <c r="G28" s="309">
        <f>E28/$E$34</f>
        <v>0.93542362264649237</v>
      </c>
      <c r="H28" s="309">
        <f>(E28-I28)/I28</f>
        <v>0.87298449137593115</v>
      </c>
      <c r="I28" s="312">
        <f>I7+I14+I21</f>
        <v>65305.599999999999</v>
      </c>
      <c r="J28" s="308">
        <f>J7+J14+J21</f>
        <v>713878.04669700004</v>
      </c>
      <c r="K28" s="309">
        <f>I28/$I$34</f>
        <v>0.97472249198513261</v>
      </c>
      <c r="M28" s="89"/>
      <c r="N28" s="89"/>
      <c r="O28" s="89"/>
      <c r="P28" s="89"/>
      <c r="Q28" s="89"/>
      <c r="R28" s="89"/>
      <c r="S28" s="89"/>
    </row>
    <row r="29" spans="1:20" ht="13" customHeight="1">
      <c r="A29" s="423"/>
      <c r="B29" s="423"/>
      <c r="C29" s="154" t="s">
        <v>5</v>
      </c>
      <c r="D29" s="313">
        <f t="shared" ref="D29:D32" si="10">D22</f>
        <v>127</v>
      </c>
      <c r="E29" s="129">
        <f>E8+E15+E22</f>
        <v>210.06200000000001</v>
      </c>
      <c r="F29" s="129">
        <f t="shared" ref="F29" si="11">F8+F15+F22</f>
        <v>2216.9389999999999</v>
      </c>
      <c r="G29" s="307">
        <f t="shared" ref="G29:G33" si="12">E29/$E$34</f>
        <v>1.6064648368945094E-3</v>
      </c>
      <c r="H29" s="307">
        <f t="shared" ref="H29:H31" si="13">(E29-I29)/I29</f>
        <v>0.1598586494395671</v>
      </c>
      <c r="I29" s="313">
        <f>I8+I15+I22</f>
        <v>181.11</v>
      </c>
      <c r="J29" s="129">
        <f t="shared" ref="J29" si="14">J8+J15+J22</f>
        <v>1906.874</v>
      </c>
      <c r="K29" s="307">
        <f t="shared" ref="K29:K33" si="15">I29/$I$34</f>
        <v>2.703167730231824E-3</v>
      </c>
      <c r="M29" s="89"/>
      <c r="N29" s="89"/>
      <c r="O29" s="89"/>
      <c r="P29" s="89"/>
      <c r="Q29" s="89"/>
      <c r="R29" s="89"/>
      <c r="S29" s="89"/>
    </row>
    <row r="30" spans="1:20" ht="13" customHeight="1">
      <c r="A30" s="423"/>
      <c r="B30" s="423"/>
      <c r="C30" s="154" t="s">
        <v>6</v>
      </c>
      <c r="D30" s="313">
        <f t="shared" si="10"/>
        <v>1175</v>
      </c>
      <c r="E30" s="129">
        <f t="shared" ref="E30:F33" si="16">E9+E16+E23</f>
        <v>634.16300000000001</v>
      </c>
      <c r="F30" s="129">
        <f t="shared" si="16"/>
        <v>6662.5499999999993</v>
      </c>
      <c r="G30" s="307">
        <f t="shared" si="12"/>
        <v>4.8498089152704095E-3</v>
      </c>
      <c r="H30" s="307">
        <f t="shared" si="13"/>
        <v>0.31195370862667121</v>
      </c>
      <c r="I30" s="313">
        <f t="shared" ref="I30:J32" si="17">I9+I16+I23</f>
        <v>483.37300000000005</v>
      </c>
      <c r="J30" s="129">
        <f t="shared" si="17"/>
        <v>5078.4159999999974</v>
      </c>
      <c r="K30" s="307">
        <f t="shared" si="15"/>
        <v>7.2146115358917087E-3</v>
      </c>
      <c r="M30" s="89"/>
      <c r="N30" s="89"/>
      <c r="O30" s="89"/>
      <c r="P30" s="89"/>
      <c r="Q30" s="89"/>
      <c r="R30" s="89"/>
      <c r="S30" s="89"/>
    </row>
    <row r="31" spans="1:20" ht="13" customHeight="1">
      <c r="A31" s="423"/>
      <c r="B31" s="423"/>
      <c r="C31" s="154" t="s">
        <v>7</v>
      </c>
      <c r="D31" s="313">
        <f t="shared" si="10"/>
        <v>8072</v>
      </c>
      <c r="E31" s="129">
        <f>E10+E17+E24</f>
        <v>180.12799999999999</v>
      </c>
      <c r="F31" s="129">
        <f t="shared" si="16"/>
        <v>1922.5360000000001</v>
      </c>
      <c r="G31" s="307">
        <f t="shared" si="12"/>
        <v>1.3775423357872158E-3</v>
      </c>
      <c r="H31" s="344">
        <f t="shared" si="13"/>
        <v>-5.5071186511808562E-2</v>
      </c>
      <c r="I31" s="313">
        <f>I10+I17+I24</f>
        <v>190.626</v>
      </c>
      <c r="J31" s="129">
        <f t="shared" si="17"/>
        <v>2034.2280000000001</v>
      </c>
      <c r="K31" s="307">
        <f t="shared" si="15"/>
        <v>2.8451993360011684E-3</v>
      </c>
      <c r="M31" s="89"/>
      <c r="N31" s="89"/>
      <c r="O31" s="89"/>
      <c r="P31" s="89"/>
      <c r="Q31" s="89"/>
      <c r="R31" s="89"/>
      <c r="S31" s="89"/>
    </row>
    <row r="32" spans="1:20" ht="13" customHeight="1">
      <c r="A32" s="423"/>
      <c r="B32" s="423"/>
      <c r="C32" s="154" t="s">
        <v>92</v>
      </c>
      <c r="D32" s="313">
        <f t="shared" si="10"/>
        <v>8</v>
      </c>
      <c r="E32" s="129">
        <f>E11+E18+E25</f>
        <v>189.79900000000001</v>
      </c>
      <c r="F32" s="129">
        <f t="shared" si="16"/>
        <v>1981.4860000000001</v>
      </c>
      <c r="G32" s="307">
        <f t="shared" si="12"/>
        <v>1.4515020307230293E-3</v>
      </c>
      <c r="H32" s="307">
        <f>(E32-I32)/I32</f>
        <v>2.4813367816724443</v>
      </c>
      <c r="I32" s="313">
        <f>I11+I18+I25</f>
        <v>54.519000000000005</v>
      </c>
      <c r="J32" s="129">
        <f t="shared" si="17"/>
        <v>565.23500000000001</v>
      </c>
      <c r="K32" s="307">
        <f t="shared" si="15"/>
        <v>8.1372647277626201E-4</v>
      </c>
      <c r="M32" s="89"/>
      <c r="N32" s="89"/>
      <c r="O32" s="89"/>
      <c r="P32" s="89"/>
      <c r="Q32" s="89"/>
      <c r="R32" s="89"/>
      <c r="S32" s="89"/>
    </row>
    <row r="33" spans="1:20" ht="13" customHeight="1">
      <c r="A33" s="423"/>
      <c r="B33" s="423"/>
      <c r="C33" s="154" t="s">
        <v>95</v>
      </c>
      <c r="D33" s="313"/>
      <c r="E33" s="129">
        <f t="shared" si="16"/>
        <v>7229.8815499999982</v>
      </c>
      <c r="F33" s="129">
        <f t="shared" si="16"/>
        <v>80577.281836368988</v>
      </c>
      <c r="G33" s="307">
        <f t="shared" si="12"/>
        <v>5.5291059234832428E-2</v>
      </c>
      <c r="H33" s="307">
        <f t="shared" ref="H33" si="18">(E33-I33)/I33</f>
        <v>8.222445143442684</v>
      </c>
      <c r="I33" s="313">
        <f t="shared" ref="I33:J33" si="19">I12+I19+I26</f>
        <v>783.94411000000002</v>
      </c>
      <c r="J33" s="129">
        <f t="shared" si="19"/>
        <v>8974.1658377000022</v>
      </c>
      <c r="K33" s="307">
        <f t="shared" si="15"/>
        <v>1.1700802939966358E-2</v>
      </c>
      <c r="M33" s="89"/>
      <c r="N33" s="89"/>
      <c r="O33" s="89"/>
      <c r="P33" s="89"/>
      <c r="Q33" s="89"/>
      <c r="R33" s="89"/>
      <c r="S33" s="89"/>
    </row>
    <row r="34" spans="1:20" ht="13" customHeight="1">
      <c r="A34" s="424"/>
      <c r="B34" s="424"/>
      <c r="C34" s="318" t="s">
        <v>0</v>
      </c>
      <c r="D34" s="321">
        <f>SUM(D28:D33)</f>
        <v>9475</v>
      </c>
      <c r="E34" s="319">
        <f>SUM(E28:E33)</f>
        <v>130760.40955000001</v>
      </c>
      <c r="F34" s="319">
        <f>SUM(F28:F33)</f>
        <v>1428319.182420369</v>
      </c>
      <c r="G34" s="320">
        <f>SUM(G28:G33)</f>
        <v>1</v>
      </c>
      <c r="H34" s="320">
        <f>(E34-I34)/I34</f>
        <v>0.95167201969773729</v>
      </c>
      <c r="I34" s="321">
        <f>SUM(I28:I33)</f>
        <v>66999.17211</v>
      </c>
      <c r="J34" s="319">
        <f>SUM(J28:J33)</f>
        <v>732436.96553469996</v>
      </c>
      <c r="K34" s="320">
        <f>SUM(K28:K33)</f>
        <v>0.99999999999999989</v>
      </c>
      <c r="M34" s="89"/>
      <c r="N34" s="89"/>
      <c r="O34" s="89"/>
      <c r="P34" s="89"/>
      <c r="Q34" s="89"/>
      <c r="R34" s="89"/>
      <c r="S34" s="89"/>
    </row>
    <row r="35" spans="1:20" ht="13" customHeight="1">
      <c r="A35" s="126"/>
      <c r="B35" s="303"/>
      <c r="C35" s="101"/>
      <c r="D35" s="88"/>
      <c r="E35" s="88"/>
      <c r="F35" s="88"/>
      <c r="G35" s="476" t="s">
        <v>268</v>
      </c>
      <c r="H35" s="476"/>
      <c r="I35" s="476"/>
      <c r="J35" s="476"/>
      <c r="K35" s="476"/>
    </row>
    <row r="36" spans="1:20" ht="15" customHeight="1">
      <c r="A36" s="468" t="s">
        <v>267</v>
      </c>
      <c r="B36" s="468"/>
      <c r="C36" s="468"/>
      <c r="D36" s="468"/>
      <c r="E36" s="468"/>
      <c r="F36" s="119"/>
      <c r="G36" s="476"/>
      <c r="H36" s="476"/>
      <c r="I36" s="476"/>
      <c r="J36" s="476"/>
      <c r="K36" s="476"/>
      <c r="M36" s="93"/>
      <c r="N36" s="93"/>
      <c r="O36" s="93"/>
      <c r="P36" s="93"/>
      <c r="Q36" s="93"/>
      <c r="R36" s="93"/>
      <c r="S36" s="93"/>
    </row>
    <row r="37" spans="1:20" ht="15" customHeight="1">
      <c r="A37" s="469" t="str">
        <f>A28</f>
        <v>IV. čtvrtletí</v>
      </c>
      <c r="B37" s="469"/>
      <c r="C37" s="469"/>
      <c r="D37" s="469"/>
      <c r="E37" s="469"/>
      <c r="F37" s="125"/>
      <c r="G37" s="471" t="str">
        <f>A28</f>
        <v>IV. čtvrtletí</v>
      </c>
      <c r="H37" s="471"/>
      <c r="I37" s="471"/>
      <c r="J37" s="471"/>
      <c r="K37" s="471"/>
      <c r="M37" s="93"/>
      <c r="N37" s="93"/>
      <c r="O37" s="93"/>
      <c r="P37" s="93"/>
      <c r="Q37" s="93"/>
      <c r="R37" s="93"/>
      <c r="S37" s="93"/>
    </row>
    <row r="38" spans="1:20" ht="15" customHeight="1">
      <c r="A38" s="94"/>
      <c r="B38" s="94"/>
      <c r="C38" s="94"/>
      <c r="D38" s="76"/>
      <c r="E38" s="76"/>
      <c r="F38" s="76"/>
      <c r="G38" s="94"/>
      <c r="H38" s="94"/>
      <c r="I38" s="94"/>
      <c r="J38" s="94"/>
      <c r="K38" s="94"/>
      <c r="M38" s="93"/>
      <c r="N38" s="93"/>
      <c r="O38" s="93"/>
      <c r="P38" s="93"/>
      <c r="Q38" s="93"/>
      <c r="R38" s="93"/>
      <c r="S38" s="93"/>
      <c r="T38" s="93"/>
    </row>
    <row r="39" spans="1:20" ht="15" customHeight="1">
      <c r="A39" s="94"/>
      <c r="B39" s="94"/>
      <c r="C39" s="94"/>
      <c r="D39" s="76"/>
      <c r="E39" s="76"/>
      <c r="F39" s="76"/>
      <c r="G39" s="94"/>
      <c r="H39" s="94"/>
      <c r="I39" s="94"/>
      <c r="J39" s="94"/>
      <c r="K39" s="94"/>
    </row>
    <row r="40" spans="1:20" ht="15" customHeight="1">
      <c r="A40" s="94"/>
      <c r="B40" s="94"/>
      <c r="C40" s="94"/>
      <c r="D40" s="76"/>
      <c r="E40" s="76"/>
      <c r="F40" s="76"/>
      <c r="G40" s="94"/>
      <c r="H40" s="94"/>
      <c r="I40" s="94"/>
      <c r="J40" s="94"/>
      <c r="K40" s="94"/>
    </row>
    <row r="41" spans="1:20" ht="15" customHeight="1">
      <c r="A41" s="94"/>
      <c r="B41" s="94"/>
      <c r="C41" s="94">
        <f>D3</f>
        <v>2024</v>
      </c>
      <c r="D41" s="94">
        <f>I3</f>
        <v>2023</v>
      </c>
      <c r="E41" s="76"/>
      <c r="F41" s="76"/>
      <c r="G41" s="76"/>
      <c r="H41" s="94"/>
      <c r="I41" s="94">
        <f>D3</f>
        <v>2024</v>
      </c>
      <c r="J41" s="94">
        <f>I3</f>
        <v>2023</v>
      </c>
      <c r="K41" s="94"/>
    </row>
    <row r="42" spans="1:20" ht="15" customHeight="1">
      <c r="A42" s="94"/>
      <c r="B42" s="94" t="str">
        <f>A7</f>
        <v>Říjen</v>
      </c>
      <c r="C42" s="78">
        <f>E13</f>
        <v>28854.027330000001</v>
      </c>
      <c r="D42" s="78">
        <f>I13</f>
        <v>28506.327910000004</v>
      </c>
      <c r="E42" s="76"/>
      <c r="F42" s="76"/>
      <c r="G42" s="76"/>
      <c r="H42" s="94" t="str">
        <f>A7</f>
        <v>Říjen</v>
      </c>
      <c r="I42" s="95">
        <f>E13/E34</f>
        <v>0.22066332943815714</v>
      </c>
      <c r="J42" s="95">
        <f>I13/I34</f>
        <v>0.42547283812996961</v>
      </c>
      <c r="K42" s="94"/>
    </row>
    <row r="43" spans="1:20" ht="15" customHeight="1">
      <c r="A43" s="94"/>
      <c r="B43" s="94" t="str">
        <f>A14</f>
        <v>Listopad</v>
      </c>
      <c r="C43" s="78">
        <f>E20</f>
        <v>61344.728009999992</v>
      </c>
      <c r="D43" s="78">
        <f>I20</f>
        <v>14830.559100000002</v>
      </c>
      <c r="E43" s="76"/>
      <c r="F43" s="76"/>
      <c r="G43" s="76"/>
      <c r="H43" s="94" t="str">
        <f>A14</f>
        <v>Listopad</v>
      </c>
      <c r="I43" s="95">
        <f>E20/E34</f>
        <v>0.46913838998449348</v>
      </c>
      <c r="J43" s="95">
        <f>I20/I34</f>
        <v>0.22135436353826912</v>
      </c>
      <c r="K43" s="94"/>
    </row>
    <row r="44" spans="1:20" ht="15" customHeight="1">
      <c r="A44" s="94"/>
      <c r="B44" s="94" t="str">
        <f>A21</f>
        <v>Prosinec</v>
      </c>
      <c r="C44" s="78">
        <f>E27</f>
        <v>40561.654210000001</v>
      </c>
      <c r="D44" s="78">
        <f>I27</f>
        <v>23662.285100000001</v>
      </c>
      <c r="E44" s="76"/>
      <c r="F44" s="76"/>
      <c r="G44" s="76"/>
      <c r="H44" s="94" t="str">
        <f>A21</f>
        <v>Prosinec</v>
      </c>
      <c r="I44" s="95">
        <f>E27/E34</f>
        <v>0.31019828057734922</v>
      </c>
      <c r="J44" s="95">
        <f>I27/I34</f>
        <v>0.35317279833176135</v>
      </c>
      <c r="K44" s="94"/>
    </row>
    <row r="45" spans="1:20" ht="15" customHeight="1">
      <c r="A45" s="94"/>
      <c r="B45" s="94"/>
      <c r="C45" s="78">
        <f>SUM(C42:C44)</f>
        <v>130760.40954999998</v>
      </c>
      <c r="D45" s="78">
        <f>SUM(D42:D44)</f>
        <v>66999.172110000014</v>
      </c>
      <c r="E45" s="94"/>
      <c r="F45" s="94"/>
      <c r="G45" s="94"/>
      <c r="H45" s="94"/>
      <c r="I45" s="96">
        <f>SUM(I42:I44)</f>
        <v>0.99999999999999989</v>
      </c>
      <c r="J45" s="96">
        <f>SUM(J42:J44)</f>
        <v>1</v>
      </c>
      <c r="K45" s="94"/>
    </row>
    <row r="46" spans="1:20" ht="1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20" ht="1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20" ht="1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 ht="1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 ht="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 ht="1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 ht="15" customHeight="1">
      <c r="A52" s="495" t="s">
        <v>200</v>
      </c>
      <c r="B52" s="495"/>
      <c r="C52" s="495"/>
      <c r="D52" s="495"/>
      <c r="E52" s="495"/>
      <c r="F52" s="495"/>
      <c r="G52" s="495"/>
      <c r="H52" s="495"/>
      <c r="I52" s="495"/>
      <c r="J52" s="495"/>
      <c r="K52" s="495"/>
    </row>
    <row r="53" spans="1:11" ht="15" customHeight="1">
      <c r="A53" s="495"/>
      <c r="B53" s="495"/>
      <c r="C53" s="495"/>
      <c r="D53" s="495"/>
      <c r="E53" s="495"/>
      <c r="F53" s="495"/>
      <c r="G53" s="495"/>
      <c r="H53" s="495"/>
      <c r="I53" s="495"/>
      <c r="J53" s="495"/>
      <c r="K53" s="495"/>
    </row>
    <row r="54" spans="1:11" ht="15" customHeight="1">
      <c r="A54" s="495"/>
      <c r="B54" s="495"/>
      <c r="C54" s="495"/>
      <c r="D54" s="495"/>
      <c r="E54" s="495"/>
      <c r="F54" s="495"/>
      <c r="G54" s="495"/>
      <c r="H54" s="495"/>
      <c r="I54" s="495"/>
      <c r="J54" s="495"/>
      <c r="K54" s="495"/>
    </row>
    <row r="55" spans="1:11" ht="1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 ht="1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 ht="1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ht="1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 ht="1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 ht="1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 ht="1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/>
    <row r="75" spans="1:11" ht="15" customHeight="1"/>
    <row r="76" spans="1:11" ht="15" customHeight="1"/>
    <row r="77" spans="1:11" ht="15" customHeight="1"/>
    <row r="78" spans="1:11" ht="15" customHeight="1"/>
    <row r="79" spans="1:11" ht="15" customHeight="1"/>
    <row r="80" spans="1:1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</sheetData>
  <mergeCells count="22">
    <mergeCell ref="E3:G4"/>
    <mergeCell ref="A37:E37"/>
    <mergeCell ref="G37:K37"/>
    <mergeCell ref="A1:K1"/>
    <mergeCell ref="A2:C2"/>
    <mergeCell ref="I3:K4"/>
    <mergeCell ref="A3:C4"/>
    <mergeCell ref="D5:D6"/>
    <mergeCell ref="C5:C6"/>
    <mergeCell ref="A5:B6"/>
    <mergeCell ref="G5:G6"/>
    <mergeCell ref="H5:H6"/>
    <mergeCell ref="K5:K6"/>
    <mergeCell ref="E5:F5"/>
    <mergeCell ref="I5:J5"/>
    <mergeCell ref="A52:K54"/>
    <mergeCell ref="A7:B13"/>
    <mergeCell ref="A14:B20"/>
    <mergeCell ref="A21:B27"/>
    <mergeCell ref="A28:B34"/>
    <mergeCell ref="A36:E36"/>
    <mergeCell ref="G35:K3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24 H10" evalError="1"/>
    <ignoredError sqref="H34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8"/>
  <dimension ref="A1:K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496" t="str">
        <f>"5.6 Spotřeba zemního plynu a teplota ovzduší: "&amp;LOWER(A3)</f>
        <v>5.6 Spotřeba zemního plynu a teplota ovzduší: říjen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18.75" customHeight="1">
      <c r="A3" s="503" t="str">
        <f>'3.1'!D5</f>
        <v>Říjen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 ht="25" customHeight="1">
      <c r="A4" s="128"/>
      <c r="B4" s="252">
        <f>'3.1'!A4</f>
        <v>2024</v>
      </c>
      <c r="C4" s="497" t="s">
        <v>60</v>
      </c>
      <c r="D4" s="498"/>
      <c r="E4" s="498"/>
      <c r="F4" s="499"/>
      <c r="G4" s="497" t="s">
        <v>185</v>
      </c>
      <c r="H4" s="498"/>
      <c r="I4" s="498"/>
      <c r="J4" s="498"/>
      <c r="K4" s="498"/>
    </row>
    <row r="5" spans="1:1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47" t="s">
        <v>62</v>
      </c>
      <c r="H5" s="348" t="s">
        <v>172</v>
      </c>
      <c r="I5" s="348" t="s">
        <v>173</v>
      </c>
      <c r="J5" s="348" t="s">
        <v>276</v>
      </c>
      <c r="K5" s="348" t="s">
        <v>277</v>
      </c>
    </row>
    <row r="6" spans="1:11" ht="25" customHeight="1">
      <c r="A6" s="349" t="s">
        <v>279</v>
      </c>
      <c r="B6" s="467"/>
      <c r="C6" s="221" t="s">
        <v>257</v>
      </c>
      <c r="D6" s="219" t="s">
        <v>258</v>
      </c>
      <c r="E6" s="467"/>
      <c r="F6" s="502"/>
      <c r="G6" s="350" t="s">
        <v>226</v>
      </c>
      <c r="H6" s="351" t="s">
        <v>226</v>
      </c>
      <c r="I6" s="351" t="s">
        <v>226</v>
      </c>
      <c r="J6" s="351" t="s">
        <v>226</v>
      </c>
      <c r="K6" s="351" t="s">
        <v>226</v>
      </c>
    </row>
    <row r="7" spans="1:11" ht="16" customHeight="1">
      <c r="A7" s="154" t="s">
        <v>20</v>
      </c>
      <c r="B7" s="129">
        <f>'5.2'!D13</f>
        <v>398347</v>
      </c>
      <c r="C7" s="313">
        <f>'5.2'!E13</f>
        <v>53405.085647103995</v>
      </c>
      <c r="D7" s="129">
        <f>'5.2'!F13</f>
        <v>584793.53704392305</v>
      </c>
      <c r="E7" s="307">
        <f>C7/$C$11</f>
        <v>9.6193883824739715E-2</v>
      </c>
      <c r="F7" s="332">
        <f>'5.2'!H13</f>
        <v>0.29861203316155849</v>
      </c>
      <c r="G7" s="330">
        <v>11.141935483870965</v>
      </c>
      <c r="H7" s="324">
        <v>16</v>
      </c>
      <c r="I7" s="324">
        <v>7.7</v>
      </c>
      <c r="J7" s="324">
        <v>9</v>
      </c>
      <c r="K7" s="324">
        <v>2.1419354838709648</v>
      </c>
    </row>
    <row r="8" spans="1:11" ht="16" customHeight="1">
      <c r="A8" s="154" t="s">
        <v>86</v>
      </c>
      <c r="B8" s="129">
        <f>'5.3'!D13</f>
        <v>2210444</v>
      </c>
      <c r="C8" s="313">
        <f>'5.3'!E13</f>
        <v>451140.30265065399</v>
      </c>
      <c r="D8" s="129">
        <f>'5.3'!F13</f>
        <v>4940209.7533399994</v>
      </c>
      <c r="E8" s="307">
        <f t="shared" ref="E8:E10" si="0">C8/$C$11</f>
        <v>0.81259934959374447</v>
      </c>
      <c r="F8" s="332">
        <f>'5.3'!H13</f>
        <v>0.19188102150995387</v>
      </c>
      <c r="G8" s="330">
        <v>9.9021505376344088</v>
      </c>
      <c r="H8" s="325">
        <v>14.616666666666665</v>
      </c>
      <c r="I8" s="325">
        <v>6.0166666666666666</v>
      </c>
      <c r="J8" s="325">
        <v>8.1500000000000039</v>
      </c>
      <c r="K8" s="324">
        <v>1.7521505376344049</v>
      </c>
    </row>
    <row r="9" spans="1:11" ht="16" customHeight="1">
      <c r="A9" s="154" t="s">
        <v>207</v>
      </c>
      <c r="B9" s="129">
        <f>'5.4'!D13</f>
        <v>111349</v>
      </c>
      <c r="C9" s="313">
        <f>'5.4'!E13</f>
        <v>21782.302</v>
      </c>
      <c r="D9" s="129">
        <f>'5.4'!F13</f>
        <v>238774.676133</v>
      </c>
      <c r="E9" s="307">
        <f t="shared" si="0"/>
        <v>3.9234544849700452E-2</v>
      </c>
      <c r="F9" s="332">
        <f>'5.4'!H13</f>
        <v>0.25191339236554744</v>
      </c>
      <c r="G9" s="330">
        <v>9.5709677419354815</v>
      </c>
      <c r="H9" s="325">
        <v>13.8</v>
      </c>
      <c r="I9" s="325">
        <v>6.9</v>
      </c>
      <c r="J9" s="325">
        <v>7.5</v>
      </c>
      <c r="K9" s="324">
        <v>2.0709677419354815</v>
      </c>
    </row>
    <row r="10" spans="1:11" ht="16" customHeight="1">
      <c r="A10" s="154" t="s">
        <v>32</v>
      </c>
      <c r="B10" s="129">
        <f>'5.5'!D13</f>
        <v>9481</v>
      </c>
      <c r="C10" s="313">
        <f>'5.5'!E13</f>
        <v>28854.027330000001</v>
      </c>
      <c r="D10" s="129">
        <f>'5.5'!F13</f>
        <v>315815.17811736889</v>
      </c>
      <c r="E10" s="307">
        <f t="shared" si="0"/>
        <v>5.1972221731815468E-2</v>
      </c>
      <c r="F10" s="332">
        <f>'5.5'!H13</f>
        <v>1.2197271465400649E-2</v>
      </c>
      <c r="G10" s="330">
        <v>9.9064516129032238</v>
      </c>
      <c r="H10" s="325">
        <v>14.6</v>
      </c>
      <c r="I10" s="325">
        <v>6.2</v>
      </c>
      <c r="J10" s="325">
        <v>8.3548387096774199</v>
      </c>
      <c r="K10" s="324">
        <v>1.5516129032258039</v>
      </c>
    </row>
    <row r="11" spans="1:11" ht="16" customHeight="1">
      <c r="A11" s="159" t="s">
        <v>3</v>
      </c>
      <c r="B11" s="310">
        <f>SUM(B7:B10)</f>
        <v>2729621</v>
      </c>
      <c r="C11" s="314">
        <f>SUM(C7:C10)</f>
        <v>555181.71762775793</v>
      </c>
      <c r="D11" s="310">
        <f t="shared" ref="D11:E11" si="1">SUM(D7:D10)</f>
        <v>6079593.1446342915</v>
      </c>
      <c r="E11" s="311">
        <f t="shared" si="1"/>
        <v>1</v>
      </c>
      <c r="F11" s="333">
        <f>'5.1'!H14</f>
        <v>0.19255051550485633</v>
      </c>
      <c r="G11" s="331">
        <v>9.9064516129032238</v>
      </c>
      <c r="H11" s="329">
        <v>14.6</v>
      </c>
      <c r="I11" s="329">
        <v>6.2</v>
      </c>
      <c r="J11" s="329">
        <v>8.3548387096774199</v>
      </c>
      <c r="K11" s="328">
        <v>1.5516129032258039</v>
      </c>
    </row>
    <row r="12" spans="1:11" ht="15" customHeight="1">
      <c r="A12" s="101"/>
      <c r="B12" s="94"/>
      <c r="C12" s="504" t="s">
        <v>237</v>
      </c>
      <c r="D12" s="504"/>
      <c r="E12" s="504"/>
      <c r="F12" s="504"/>
      <c r="G12" s="507" t="s">
        <v>238</v>
      </c>
      <c r="H12" s="507"/>
      <c r="I12" s="507"/>
      <c r="J12" s="507"/>
      <c r="K12" s="507"/>
    </row>
    <row r="13" spans="1:11" ht="15" customHeight="1">
      <c r="A13" s="94"/>
      <c r="B13" s="94"/>
      <c r="C13" s="504"/>
      <c r="D13" s="504"/>
      <c r="E13" s="504"/>
      <c r="F13" s="504"/>
      <c r="G13" s="507" t="s">
        <v>239</v>
      </c>
      <c r="H13" s="507"/>
      <c r="I13" s="507"/>
      <c r="J13" s="507"/>
      <c r="K13" s="507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08" t="s">
        <v>269</v>
      </c>
      <c r="B16" s="508"/>
      <c r="C16" s="508"/>
      <c r="D16" s="508"/>
      <c r="E16" s="508"/>
      <c r="F16" s="508" t="s">
        <v>270</v>
      </c>
      <c r="G16" s="508"/>
      <c r="H16" s="508"/>
      <c r="I16" s="508"/>
      <c r="J16" s="508"/>
      <c r="K16" s="508"/>
    </row>
    <row r="17" spans="1:11" ht="15" customHeight="1">
      <c r="A17" s="508"/>
      <c r="B17" s="508"/>
      <c r="C17" s="508"/>
      <c r="D17" s="508"/>
      <c r="E17" s="508"/>
      <c r="F17" s="508"/>
      <c r="G17" s="508"/>
      <c r="H17" s="508"/>
      <c r="I17" s="508"/>
      <c r="J17" s="508"/>
      <c r="K17" s="508"/>
    </row>
    <row r="18" spans="1:11" ht="15" customHeight="1">
      <c r="A18" s="124"/>
      <c r="B18" s="505"/>
      <c r="C18" s="505"/>
      <c r="D18" s="124"/>
      <c r="E18" s="124"/>
      <c r="F18" s="124"/>
      <c r="G18" s="124"/>
      <c r="H18" s="505"/>
      <c r="I18" s="505"/>
      <c r="J18" s="124"/>
      <c r="K18" s="124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08" t="s">
        <v>271</v>
      </c>
      <c r="B33" s="470"/>
      <c r="C33" s="470"/>
      <c r="D33" s="470"/>
      <c r="E33" s="470"/>
      <c r="F33" s="508" t="s">
        <v>65</v>
      </c>
      <c r="G33" s="508"/>
      <c r="H33" s="508"/>
      <c r="I33" s="508"/>
      <c r="J33" s="508"/>
      <c r="K33" s="508"/>
    </row>
    <row r="34" spans="1:11" ht="15" customHeight="1">
      <c r="A34" s="470"/>
      <c r="B34" s="470"/>
      <c r="C34" s="470"/>
      <c r="D34" s="470"/>
      <c r="E34" s="470"/>
      <c r="F34" s="508"/>
      <c r="G34" s="508"/>
      <c r="H34" s="508"/>
      <c r="I34" s="508"/>
      <c r="J34" s="508"/>
      <c r="K34" s="508"/>
    </row>
    <row r="35" spans="1:11" ht="15" customHeight="1">
      <c r="A35" s="124"/>
      <c r="B35" s="505"/>
      <c r="C35" s="505"/>
      <c r="D35" s="124"/>
      <c r="E35" s="121"/>
      <c r="F35" s="127"/>
      <c r="G35" s="127"/>
      <c r="H35" s="506"/>
      <c r="I35" s="506"/>
      <c r="J35" s="127"/>
      <c r="K35" s="127"/>
    </row>
    <row r="36" spans="1:11" ht="15" customHeight="1">
      <c r="A36" s="124"/>
      <c r="B36" s="124"/>
      <c r="C36" s="124"/>
      <c r="D36" s="124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C12:F13"/>
    <mergeCell ref="B18:C18"/>
    <mergeCell ref="H18:I18"/>
    <mergeCell ref="H35:I35"/>
    <mergeCell ref="B35:C35"/>
    <mergeCell ref="G12:K12"/>
    <mergeCell ref="G13:K13"/>
    <mergeCell ref="F16:K17"/>
    <mergeCell ref="A16:E17"/>
    <mergeCell ref="A33:E34"/>
    <mergeCell ref="F33:K34"/>
    <mergeCell ref="A1:K1"/>
    <mergeCell ref="G4:K4"/>
    <mergeCell ref="B5:B6"/>
    <mergeCell ref="C4:F4"/>
    <mergeCell ref="A2:B2"/>
    <mergeCell ref="E5:E6"/>
    <mergeCell ref="F5:F6"/>
    <mergeCell ref="A3:K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9"/>
  <dimension ref="A1:K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496" t="str">
        <f>"5.7 Spotřeba zemního plynu a teplota ovzduší: "&amp;LOWER(A3)</f>
        <v>5.7 Spotřeba zemního plynu a teplota ovzduší: listopad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18.75" customHeight="1">
      <c r="A3" s="503" t="str">
        <f>'3.1'!E5</f>
        <v>Listopad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 ht="25" customHeight="1">
      <c r="A4" s="128"/>
      <c r="B4" s="252">
        <f>'3.1'!A4</f>
        <v>2024</v>
      </c>
      <c r="C4" s="497" t="s">
        <v>60</v>
      </c>
      <c r="D4" s="498"/>
      <c r="E4" s="498"/>
      <c r="F4" s="499"/>
      <c r="G4" s="497" t="s">
        <v>185</v>
      </c>
      <c r="H4" s="498"/>
      <c r="I4" s="498"/>
      <c r="J4" s="498"/>
      <c r="K4" s="498"/>
    </row>
    <row r="5" spans="1:1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47" t="s">
        <v>62</v>
      </c>
      <c r="H5" s="348" t="s">
        <v>172</v>
      </c>
      <c r="I5" s="348" t="s">
        <v>173</v>
      </c>
      <c r="J5" s="348" t="s">
        <v>276</v>
      </c>
      <c r="K5" s="348" t="s">
        <v>277</v>
      </c>
    </row>
    <row r="6" spans="1:11" ht="25" customHeight="1">
      <c r="A6" s="349" t="s">
        <v>279</v>
      </c>
      <c r="B6" s="467"/>
      <c r="C6" s="221" t="s">
        <v>257</v>
      </c>
      <c r="D6" s="219" t="s">
        <v>258</v>
      </c>
      <c r="E6" s="467"/>
      <c r="F6" s="502"/>
      <c r="G6" s="350" t="s">
        <v>226</v>
      </c>
      <c r="H6" s="351" t="s">
        <v>226</v>
      </c>
      <c r="I6" s="351" t="s">
        <v>226</v>
      </c>
      <c r="J6" s="351" t="s">
        <v>226</v>
      </c>
      <c r="K6" s="351" t="s">
        <v>226</v>
      </c>
    </row>
    <row r="7" spans="1:11" ht="16" customHeight="1">
      <c r="A7" s="154" t="s">
        <v>20</v>
      </c>
      <c r="B7" s="129">
        <f>'5.2'!D20</f>
        <v>398058</v>
      </c>
      <c r="C7" s="313">
        <f>'5.2'!E20</f>
        <v>95661.501860338001</v>
      </c>
      <c r="D7" s="129">
        <f>'5.2'!F20</f>
        <v>1044622.490355026</v>
      </c>
      <c r="E7" s="307">
        <f>C7/$C$11</f>
        <v>0.11053034531163348</v>
      </c>
      <c r="F7" s="332">
        <f>'5.2'!H20</f>
        <v>0.13312848541177372</v>
      </c>
      <c r="G7" s="330">
        <v>4.0933333333333328</v>
      </c>
      <c r="H7" s="324">
        <v>9.9</v>
      </c>
      <c r="I7" s="324">
        <v>0.3</v>
      </c>
      <c r="J7" s="324">
        <v>3.700000000000002</v>
      </c>
      <c r="K7" s="324">
        <v>0.39333333333333087</v>
      </c>
    </row>
    <row r="8" spans="1:11" ht="16" customHeight="1">
      <c r="A8" s="154" t="s">
        <v>86</v>
      </c>
      <c r="B8" s="129">
        <f>'5.3'!D20</f>
        <v>2209309</v>
      </c>
      <c r="C8" s="313">
        <f>'5.3'!E20</f>
        <v>675535.3102779258</v>
      </c>
      <c r="D8" s="129">
        <f>'5.3'!F20</f>
        <v>7373494.9508199999</v>
      </c>
      <c r="E8" s="307">
        <f t="shared" ref="E8:E10" si="0">C8/$C$11</f>
        <v>0.78053500795159669</v>
      </c>
      <c r="F8" s="332">
        <f>'5.3'!H20</f>
        <v>0.12044500896441813</v>
      </c>
      <c r="G8" s="330">
        <v>2.9844444444444442</v>
      </c>
      <c r="H8" s="325">
        <v>7.6000000000000005</v>
      </c>
      <c r="I8" s="325">
        <v>-0.6166666666666667</v>
      </c>
      <c r="J8" s="325">
        <v>2.833333333333333</v>
      </c>
      <c r="K8" s="324">
        <v>0.1511111111111112</v>
      </c>
    </row>
    <row r="9" spans="1:11" ht="16" customHeight="1">
      <c r="A9" s="154" t="s">
        <v>207</v>
      </c>
      <c r="B9" s="129">
        <f>'5.4'!D20</f>
        <v>111384</v>
      </c>
      <c r="C9" s="313">
        <f>'5.4'!E20</f>
        <v>32935.732999</v>
      </c>
      <c r="D9" s="129">
        <f>'5.4'!F20</f>
        <v>359248.15967800003</v>
      </c>
      <c r="E9" s="307">
        <f t="shared" si="0"/>
        <v>3.8054994649635215E-2</v>
      </c>
      <c r="F9" s="332">
        <f>'5.4'!H20</f>
        <v>0.13790166488075298</v>
      </c>
      <c r="G9" s="330">
        <v>2.77</v>
      </c>
      <c r="H9" s="325">
        <v>7.4</v>
      </c>
      <c r="I9" s="325">
        <v>-0.7</v>
      </c>
      <c r="J9" s="325">
        <v>2.2000000000000011</v>
      </c>
      <c r="K9" s="324">
        <v>0.56999999999999895</v>
      </c>
    </row>
    <row r="10" spans="1:11" ht="16" customHeight="1">
      <c r="A10" s="154" t="s">
        <v>32</v>
      </c>
      <c r="B10" s="129">
        <f>'5.5'!D20</f>
        <v>9487</v>
      </c>
      <c r="C10" s="313">
        <f>'5.5'!E20</f>
        <v>61344.728009999992</v>
      </c>
      <c r="D10" s="129">
        <f>'5.5'!F20</f>
        <v>669455.28592199972</v>
      </c>
      <c r="E10" s="307">
        <f t="shared" si="0"/>
        <v>7.0879652087134565E-2</v>
      </c>
      <c r="F10" s="332">
        <f>'5.5'!H20</f>
        <v>3.1363732544648291</v>
      </c>
      <c r="G10" s="330">
        <v>2.9600000000000004</v>
      </c>
      <c r="H10" s="325">
        <v>7.5</v>
      </c>
      <c r="I10" s="325">
        <v>-0.6</v>
      </c>
      <c r="J10" s="325">
        <v>3.5466666666666664</v>
      </c>
      <c r="K10" s="324">
        <v>-0.586666666666666</v>
      </c>
    </row>
    <row r="11" spans="1:11" ht="16" customHeight="1">
      <c r="A11" s="159" t="s">
        <v>3</v>
      </c>
      <c r="B11" s="310">
        <f>SUM(B7:B10)</f>
        <v>2728238</v>
      </c>
      <c r="C11" s="314">
        <f t="shared" ref="C11:E11" si="1">SUM(C7:C10)</f>
        <v>865477.2731472638</v>
      </c>
      <c r="D11" s="310">
        <f t="shared" si="1"/>
        <v>9446820.8867750261</v>
      </c>
      <c r="E11" s="311">
        <f t="shared" si="1"/>
        <v>1</v>
      </c>
      <c r="F11" s="333">
        <f>'5.1'!H21</f>
        <v>0.18377839576589688</v>
      </c>
      <c r="G11" s="331">
        <v>2.9600000000000004</v>
      </c>
      <c r="H11" s="329">
        <v>7.5</v>
      </c>
      <c r="I11" s="329">
        <v>-0.6</v>
      </c>
      <c r="J11" s="329">
        <v>3.5466666666666664</v>
      </c>
      <c r="K11" s="328">
        <v>-0.586666666666666</v>
      </c>
    </row>
    <row r="12" spans="1:11" ht="15" customHeight="1">
      <c r="A12" s="101"/>
      <c r="B12" s="94"/>
      <c r="C12" s="504" t="s">
        <v>237</v>
      </c>
      <c r="D12" s="504"/>
      <c r="E12" s="504"/>
      <c r="F12" s="504"/>
      <c r="G12" s="507" t="s">
        <v>238</v>
      </c>
      <c r="H12" s="507"/>
      <c r="I12" s="507"/>
      <c r="J12" s="507"/>
      <c r="K12" s="507"/>
    </row>
    <row r="13" spans="1:11" ht="15" customHeight="1">
      <c r="A13" s="94"/>
      <c r="B13" s="94"/>
      <c r="C13" s="504"/>
      <c r="D13" s="504"/>
      <c r="E13" s="504"/>
      <c r="F13" s="504"/>
      <c r="G13" s="507" t="s">
        <v>239</v>
      </c>
      <c r="H13" s="507"/>
      <c r="I13" s="507"/>
      <c r="J13" s="507"/>
      <c r="K13" s="507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08" t="s">
        <v>269</v>
      </c>
      <c r="B16" s="508"/>
      <c r="C16" s="508"/>
      <c r="D16" s="508"/>
      <c r="E16" s="508"/>
      <c r="F16" s="508" t="s">
        <v>270</v>
      </c>
      <c r="G16" s="508"/>
      <c r="H16" s="508"/>
      <c r="I16" s="508"/>
      <c r="J16" s="508"/>
      <c r="K16" s="508"/>
    </row>
    <row r="17" spans="1:11" ht="15" customHeight="1">
      <c r="A17" s="508"/>
      <c r="B17" s="508"/>
      <c r="C17" s="508"/>
      <c r="D17" s="508"/>
      <c r="E17" s="508"/>
      <c r="F17" s="508"/>
      <c r="G17" s="508"/>
      <c r="H17" s="508"/>
      <c r="I17" s="508"/>
      <c r="J17" s="508"/>
      <c r="K17" s="508"/>
    </row>
    <row r="18" spans="1:11" ht="15" customHeight="1">
      <c r="A18" s="120"/>
      <c r="B18" s="505"/>
      <c r="C18" s="505"/>
      <c r="D18" s="120"/>
      <c r="E18" s="120"/>
      <c r="F18" s="120"/>
      <c r="G18" s="123"/>
      <c r="H18" s="505"/>
      <c r="I18" s="505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08" t="s">
        <v>271</v>
      </c>
      <c r="B33" s="470"/>
      <c r="C33" s="470"/>
      <c r="D33" s="470"/>
      <c r="E33" s="470"/>
      <c r="F33" s="508" t="s">
        <v>65</v>
      </c>
      <c r="G33" s="508"/>
      <c r="H33" s="508"/>
      <c r="I33" s="508"/>
      <c r="J33" s="508"/>
      <c r="K33" s="508"/>
    </row>
    <row r="34" spans="1:11" ht="15" customHeight="1">
      <c r="A34" s="470"/>
      <c r="B34" s="470"/>
      <c r="C34" s="470"/>
      <c r="D34" s="470"/>
      <c r="E34" s="470"/>
      <c r="F34" s="508"/>
      <c r="G34" s="508"/>
      <c r="H34" s="508"/>
      <c r="I34" s="508"/>
      <c r="J34" s="508"/>
      <c r="K34" s="508"/>
    </row>
    <row r="35" spans="1:11" ht="15" customHeight="1">
      <c r="A35" s="120"/>
      <c r="B35" s="505"/>
      <c r="C35" s="505"/>
      <c r="D35" s="120"/>
      <c r="E35" s="121"/>
      <c r="F35" s="127"/>
      <c r="G35" s="127"/>
      <c r="H35" s="506"/>
      <c r="I35" s="506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A1:K1"/>
    <mergeCell ref="G4:K4"/>
    <mergeCell ref="B18:C18"/>
    <mergeCell ref="C4:F4"/>
    <mergeCell ref="A2:B2"/>
    <mergeCell ref="B5:B6"/>
    <mergeCell ref="C12:F13"/>
    <mergeCell ref="G12:K12"/>
    <mergeCell ref="G13:K13"/>
    <mergeCell ref="E5:E6"/>
    <mergeCell ref="F5:F6"/>
    <mergeCell ref="A3:K3"/>
    <mergeCell ref="A16:E17"/>
    <mergeCell ref="F16:K17"/>
    <mergeCell ref="B35:C35"/>
    <mergeCell ref="H35:I35"/>
    <mergeCell ref="H18:I18"/>
    <mergeCell ref="A33:E34"/>
    <mergeCell ref="F33:K3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K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496" t="str">
        <f>"5.8 Spotřeba zemního plynu a teplota ovzduší: "&amp;LOWER(A3)</f>
        <v>5.8 Spotřeba zemního plynu a teplota ovzduší: prosinec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18.75" customHeight="1">
      <c r="A3" s="503" t="str">
        <f>'3.1'!F5</f>
        <v>Prosinec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 ht="25" customHeight="1">
      <c r="A4" s="128"/>
      <c r="B4" s="252">
        <f>'3.1'!A4</f>
        <v>2024</v>
      </c>
      <c r="C4" s="497" t="s">
        <v>60</v>
      </c>
      <c r="D4" s="498"/>
      <c r="E4" s="498"/>
      <c r="F4" s="499"/>
      <c r="G4" s="497" t="s">
        <v>185</v>
      </c>
      <c r="H4" s="498"/>
      <c r="I4" s="498"/>
      <c r="J4" s="498"/>
      <c r="K4" s="498"/>
    </row>
    <row r="5" spans="1:1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47" t="s">
        <v>62</v>
      </c>
      <c r="H5" s="348" t="s">
        <v>172</v>
      </c>
      <c r="I5" s="348" t="s">
        <v>173</v>
      </c>
      <c r="J5" s="348" t="s">
        <v>276</v>
      </c>
      <c r="K5" s="348" t="s">
        <v>277</v>
      </c>
    </row>
    <row r="6" spans="1:11" ht="25" customHeight="1">
      <c r="A6" s="349" t="s">
        <v>279</v>
      </c>
      <c r="B6" s="467"/>
      <c r="C6" s="221" t="s">
        <v>257</v>
      </c>
      <c r="D6" s="219" t="s">
        <v>258</v>
      </c>
      <c r="E6" s="467"/>
      <c r="F6" s="502"/>
      <c r="G6" s="350" t="s">
        <v>226</v>
      </c>
      <c r="H6" s="351" t="s">
        <v>226</v>
      </c>
      <c r="I6" s="351" t="s">
        <v>226</v>
      </c>
      <c r="J6" s="351" t="s">
        <v>226</v>
      </c>
      <c r="K6" s="351" t="s">
        <v>226</v>
      </c>
    </row>
    <row r="7" spans="1:11" ht="16" customHeight="1">
      <c r="A7" s="154" t="s">
        <v>20</v>
      </c>
      <c r="B7" s="129">
        <f>'5.2'!D27</f>
        <v>397906</v>
      </c>
      <c r="C7" s="313">
        <f>'5.2'!E27</f>
        <v>113032.593855642</v>
      </c>
      <c r="D7" s="129">
        <f>'5.2'!F27</f>
        <v>1231063.3494539151</v>
      </c>
      <c r="E7" s="307">
        <f>C7/$C$11</f>
        <v>0.11907648177472246</v>
      </c>
      <c r="F7" s="332">
        <f>'5.2'!H27</f>
        <v>6.0263223360372598E-2</v>
      </c>
      <c r="G7" s="330">
        <v>2.1451612903225818</v>
      </c>
      <c r="H7" s="324">
        <v>10.4</v>
      </c>
      <c r="I7" s="324">
        <v>-3.5</v>
      </c>
      <c r="J7" s="324">
        <v>1.1000000000000005</v>
      </c>
      <c r="K7" s="324">
        <v>1.0451612903225813</v>
      </c>
    </row>
    <row r="8" spans="1:11" ht="16" customHeight="1">
      <c r="A8" s="154" t="s">
        <v>86</v>
      </c>
      <c r="B8" s="129">
        <f>'5.3'!D27</f>
        <v>2208705</v>
      </c>
      <c r="C8" s="313">
        <f>'5.3'!E27</f>
        <v>759094.06713386299</v>
      </c>
      <c r="D8" s="129">
        <f>'5.3'!F27</f>
        <v>8263896.7934099985</v>
      </c>
      <c r="E8" s="307">
        <f t="shared" ref="E8:E10" si="0">C8/$C$11</f>
        <v>0.79968306279696666</v>
      </c>
      <c r="F8" s="332">
        <f>'5.3'!H27</f>
        <v>6.1659269422681698E-2</v>
      </c>
      <c r="G8" s="330">
        <v>1.0473118279569889</v>
      </c>
      <c r="H8" s="325">
        <v>6.5666666666666673</v>
      </c>
      <c r="I8" s="325">
        <v>-2.6166666666666667</v>
      </c>
      <c r="J8" s="325">
        <v>-0.10000000000000005</v>
      </c>
      <c r="K8" s="324">
        <v>1.1473118279569889</v>
      </c>
    </row>
    <row r="9" spans="1:11" ht="16" customHeight="1">
      <c r="A9" s="154" t="s">
        <v>207</v>
      </c>
      <c r="B9" s="129">
        <f>'5.4'!D27</f>
        <v>111371</v>
      </c>
      <c r="C9" s="313">
        <f>'5.4'!E27</f>
        <v>36555.332001000002</v>
      </c>
      <c r="D9" s="129">
        <f>'5.4'!F27</f>
        <v>397759.97225399996</v>
      </c>
      <c r="E9" s="307">
        <f t="shared" si="0"/>
        <v>3.850995696290245E-2</v>
      </c>
      <c r="F9" s="332">
        <f>'5.4'!H27</f>
        <v>5.8824088294265178E-2</v>
      </c>
      <c r="G9" s="330">
        <v>0.78387096774193565</v>
      </c>
      <c r="H9" s="325">
        <v>6.8</v>
      </c>
      <c r="I9" s="325">
        <v>-3</v>
      </c>
      <c r="J9" s="325">
        <v>-0.69999999999999962</v>
      </c>
      <c r="K9" s="324">
        <v>1.4838709677419353</v>
      </c>
    </row>
    <row r="10" spans="1:11" ht="16" customHeight="1">
      <c r="A10" s="154" t="s">
        <v>32</v>
      </c>
      <c r="B10" s="129">
        <f>'5.5'!D27</f>
        <v>9475</v>
      </c>
      <c r="C10" s="313">
        <f>'5.5'!E27</f>
        <v>40561.654210000001</v>
      </c>
      <c r="D10" s="129">
        <f>'5.5'!F27</f>
        <v>443048.71838099998</v>
      </c>
      <c r="E10" s="307">
        <f t="shared" si="0"/>
        <v>4.2730498465408565E-2</v>
      </c>
      <c r="F10" s="332">
        <f>'5.5'!H27</f>
        <v>0.71419007245416033</v>
      </c>
      <c r="G10" s="330">
        <v>1.0193548387096774</v>
      </c>
      <c r="H10" s="325">
        <v>6.5</v>
      </c>
      <c r="I10" s="325">
        <v>-2.6</v>
      </c>
      <c r="J10" s="325">
        <v>-0.38387096774193558</v>
      </c>
      <c r="K10" s="324">
        <v>1.403225806451613</v>
      </c>
    </row>
    <row r="11" spans="1:11" ht="16" customHeight="1">
      <c r="A11" s="159" t="s">
        <v>3</v>
      </c>
      <c r="B11" s="310">
        <f>SUM(B7:B10)</f>
        <v>2727457</v>
      </c>
      <c r="C11" s="314">
        <f t="shared" ref="C11:E11" si="1">SUM(C7:C10)</f>
        <v>949243.6472005049</v>
      </c>
      <c r="D11" s="310">
        <f t="shared" si="1"/>
        <v>10335768.833498916</v>
      </c>
      <c r="E11" s="311">
        <f t="shared" si="1"/>
        <v>1.0000000000000002</v>
      </c>
      <c r="F11" s="333">
        <f>'5.1'!H28</f>
        <v>7.8928673641862332E-2</v>
      </c>
      <c r="G11" s="331">
        <v>1.0193548387096774</v>
      </c>
      <c r="H11" s="329">
        <v>6.5</v>
      </c>
      <c r="I11" s="329">
        <v>-2.6</v>
      </c>
      <c r="J11" s="329">
        <v>-0.38387096774193558</v>
      </c>
      <c r="K11" s="328">
        <v>1.403225806451613</v>
      </c>
    </row>
    <row r="12" spans="1:11" ht="15" customHeight="1">
      <c r="A12" s="101"/>
      <c r="B12" s="94"/>
      <c r="C12" s="504" t="s">
        <v>237</v>
      </c>
      <c r="D12" s="504"/>
      <c r="E12" s="504"/>
      <c r="F12" s="504"/>
      <c r="G12" s="507" t="s">
        <v>238</v>
      </c>
      <c r="H12" s="507"/>
      <c r="I12" s="507"/>
      <c r="J12" s="507"/>
      <c r="K12" s="507"/>
    </row>
    <row r="13" spans="1:11" ht="15" customHeight="1">
      <c r="A13" s="94"/>
      <c r="B13" s="94"/>
      <c r="C13" s="504"/>
      <c r="D13" s="504"/>
      <c r="E13" s="504"/>
      <c r="F13" s="504"/>
      <c r="G13" s="507" t="s">
        <v>239</v>
      </c>
      <c r="H13" s="507"/>
      <c r="I13" s="507"/>
      <c r="J13" s="507"/>
      <c r="K13" s="507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08" t="s">
        <v>269</v>
      </c>
      <c r="B16" s="508"/>
      <c r="C16" s="508"/>
      <c r="D16" s="508"/>
      <c r="E16" s="508"/>
      <c r="F16" s="508" t="s">
        <v>270</v>
      </c>
      <c r="G16" s="508"/>
      <c r="H16" s="508"/>
      <c r="I16" s="508"/>
      <c r="J16" s="508"/>
      <c r="K16" s="508"/>
    </row>
    <row r="17" spans="1:11" ht="15" customHeight="1">
      <c r="A17" s="508"/>
      <c r="B17" s="508"/>
      <c r="C17" s="508"/>
      <c r="D17" s="508"/>
      <c r="E17" s="508"/>
      <c r="F17" s="508"/>
      <c r="G17" s="508"/>
      <c r="H17" s="508"/>
      <c r="I17" s="508"/>
      <c r="J17" s="508"/>
      <c r="K17" s="508"/>
    </row>
    <row r="18" spans="1:11" ht="15" customHeight="1">
      <c r="A18" s="120"/>
      <c r="B18" s="505"/>
      <c r="C18" s="505"/>
      <c r="D18" s="120"/>
      <c r="E18" s="120"/>
      <c r="F18" s="120"/>
      <c r="G18" s="120"/>
      <c r="H18" s="505"/>
      <c r="I18" s="505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08" t="s">
        <v>271</v>
      </c>
      <c r="B33" s="470"/>
      <c r="C33" s="470"/>
      <c r="D33" s="470"/>
      <c r="E33" s="470"/>
      <c r="F33" s="508" t="s">
        <v>65</v>
      </c>
      <c r="G33" s="508"/>
      <c r="H33" s="508"/>
      <c r="I33" s="508"/>
      <c r="J33" s="508"/>
      <c r="K33" s="508"/>
    </row>
    <row r="34" spans="1:11" ht="15" customHeight="1">
      <c r="A34" s="470"/>
      <c r="B34" s="470"/>
      <c r="C34" s="470"/>
      <c r="D34" s="470"/>
      <c r="E34" s="470"/>
      <c r="F34" s="508"/>
      <c r="G34" s="508"/>
      <c r="H34" s="508"/>
      <c r="I34" s="508"/>
      <c r="J34" s="508"/>
      <c r="K34" s="508"/>
    </row>
    <row r="35" spans="1:11" ht="15" customHeight="1">
      <c r="A35" s="120"/>
      <c r="B35" s="505"/>
      <c r="C35" s="505"/>
      <c r="D35" s="120"/>
      <c r="E35" s="121"/>
      <c r="F35" s="127"/>
      <c r="G35" s="127"/>
      <c r="H35" s="506"/>
      <c r="I35" s="506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A1:K1"/>
    <mergeCell ref="G4:K4"/>
    <mergeCell ref="A2:B2"/>
    <mergeCell ref="C4:F4"/>
    <mergeCell ref="A3:K3"/>
    <mergeCell ref="H35:I35"/>
    <mergeCell ref="B5:B6"/>
    <mergeCell ref="C12:F13"/>
    <mergeCell ref="G12:K12"/>
    <mergeCell ref="G13:K13"/>
    <mergeCell ref="B18:C18"/>
    <mergeCell ref="H18:I18"/>
    <mergeCell ref="B35:C35"/>
    <mergeCell ref="E5:E6"/>
    <mergeCell ref="F5:F6"/>
    <mergeCell ref="A16:E17"/>
    <mergeCell ref="A33:E34"/>
    <mergeCell ref="F33:K34"/>
    <mergeCell ref="F16:K1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1"/>
  <dimension ref="A1:K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20.7265625" style="84" customWidth="1"/>
    <col min="2" max="3" width="8.7265625" style="84" customWidth="1"/>
    <col min="4" max="4" width="9.7265625" style="84" customWidth="1"/>
    <col min="5" max="9" width="6.7265625" style="84" customWidth="1"/>
    <col min="10" max="10" width="7.7265625" style="84" customWidth="1"/>
    <col min="11" max="11" width="8.7265625" style="84" customWidth="1"/>
    <col min="12" max="13" width="9.1796875" style="84"/>
    <col min="14" max="14" width="11.1796875" style="84" customWidth="1"/>
    <col min="15" max="16384" width="9.1796875" style="84"/>
  </cols>
  <sheetData>
    <row r="1" spans="1:11" ht="18">
      <c r="A1" s="496" t="str">
        <f>"5.9 Spotřeba zemního plynu a teplota ovzduší: "&amp;(A3)</f>
        <v>5.9 Spotřeba zemního plynu a teplota ovzduší: IV. čtvrtletí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18.75" customHeight="1">
      <c r="A3" s="503" t="str">
        <f>'3.1'!G5</f>
        <v>IV. čtvrtletí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1" ht="25" customHeight="1">
      <c r="A4" s="128"/>
      <c r="B4" s="252">
        <f>'3.1'!A4</f>
        <v>2024</v>
      </c>
      <c r="C4" s="497" t="s">
        <v>60</v>
      </c>
      <c r="D4" s="498"/>
      <c r="E4" s="498"/>
      <c r="F4" s="499"/>
      <c r="G4" s="497" t="s">
        <v>185</v>
      </c>
      <c r="H4" s="498"/>
      <c r="I4" s="498"/>
      <c r="J4" s="498"/>
      <c r="K4" s="498"/>
    </row>
    <row r="5" spans="1:11" ht="22.5" customHeight="1">
      <c r="A5" s="272"/>
      <c r="B5" s="501" t="s">
        <v>184</v>
      </c>
      <c r="C5" s="345"/>
      <c r="D5" s="346"/>
      <c r="E5" s="511" t="s">
        <v>275</v>
      </c>
      <c r="F5" s="512" t="s">
        <v>278</v>
      </c>
      <c r="G5" s="347" t="s">
        <v>62</v>
      </c>
      <c r="H5" s="348" t="s">
        <v>172</v>
      </c>
      <c r="I5" s="348" t="s">
        <v>173</v>
      </c>
      <c r="J5" s="348" t="s">
        <v>276</v>
      </c>
      <c r="K5" s="348" t="s">
        <v>277</v>
      </c>
    </row>
    <row r="6" spans="1:11" ht="25" customHeight="1">
      <c r="A6" s="349" t="s">
        <v>279</v>
      </c>
      <c r="B6" s="502"/>
      <c r="C6" s="221" t="s">
        <v>257</v>
      </c>
      <c r="D6" s="219" t="s">
        <v>258</v>
      </c>
      <c r="E6" s="467"/>
      <c r="F6" s="502"/>
      <c r="G6" s="350" t="s">
        <v>226</v>
      </c>
      <c r="H6" s="351" t="s">
        <v>226</v>
      </c>
      <c r="I6" s="351" t="s">
        <v>226</v>
      </c>
      <c r="J6" s="351" t="s">
        <v>226</v>
      </c>
      <c r="K6" s="351" t="s">
        <v>226</v>
      </c>
    </row>
    <row r="7" spans="1:11" ht="16" customHeight="1">
      <c r="A7" s="154" t="s">
        <v>20</v>
      </c>
      <c r="B7" s="129">
        <f>'5.2'!D34</f>
        <v>397906</v>
      </c>
      <c r="C7" s="313">
        <f>'5.2'!E34</f>
        <v>262099.181363084</v>
      </c>
      <c r="D7" s="129">
        <f>'5.2'!F34</f>
        <v>2860479.3768528644</v>
      </c>
      <c r="E7" s="307">
        <f>C7/$C$11</f>
        <v>0.11059491523541255</v>
      </c>
      <c r="F7" s="332">
        <f>'5.2'!H34</f>
        <v>0.12898231558370796</v>
      </c>
      <c r="G7" s="330">
        <f>AVERAGE('5.6'!G7,'5.7'!G7,'5.8'!G7)</f>
        <v>5.7934767025089586</v>
      </c>
      <c r="H7" s="324">
        <f>MAX('5.6'!H7,'5.7'!H7,'5.8'!H7)</f>
        <v>16</v>
      </c>
      <c r="I7" s="324">
        <f>MIN('5.6'!I7,'5.7'!I7,'5.8'!I7)</f>
        <v>-3.5</v>
      </c>
      <c r="J7" s="324">
        <f>AVERAGE('5.6'!J7,'5.7'!J7,'5.8'!J7)</f>
        <v>4.6000000000000014</v>
      </c>
      <c r="K7" s="324">
        <f>G7-J7</f>
        <v>1.1934767025089572</v>
      </c>
    </row>
    <row r="8" spans="1:11" ht="16" customHeight="1">
      <c r="A8" s="154" t="s">
        <v>86</v>
      </c>
      <c r="B8" s="129">
        <f>'5.3'!D34</f>
        <v>2208705</v>
      </c>
      <c r="C8" s="313">
        <f>'5.3'!E34</f>
        <v>1885769.680062443</v>
      </c>
      <c r="D8" s="129">
        <f>'5.3'!F34</f>
        <v>20577601.497570001</v>
      </c>
      <c r="E8" s="307">
        <f t="shared" ref="E8:E10" si="0">C8/$C$11</f>
        <v>0.79571609814036448</v>
      </c>
      <c r="F8" s="332">
        <f>'5.3'!H34</f>
        <v>0.11160712484450297</v>
      </c>
      <c r="G8" s="330">
        <f>AVERAGE('5.6'!G8,'5.7'!G8,'5.8'!G8)</f>
        <v>4.6446356033452805</v>
      </c>
      <c r="H8" s="325">
        <f>MAX('5.6'!H8,'5.7'!H8,'5.8'!H8)</f>
        <v>14.616666666666665</v>
      </c>
      <c r="I8" s="325">
        <f>MIN('5.6'!I8,'5.7'!I8,'5.8'!I8)</f>
        <v>-2.6166666666666667</v>
      </c>
      <c r="J8" s="325">
        <f>AVERAGE('5.6'!J8,'5.7'!J8,'5.8'!J8)</f>
        <v>3.6277777777777795</v>
      </c>
      <c r="K8" s="324">
        <f t="shared" ref="K8:K11" si="1">G8-J8</f>
        <v>1.0168578255675009</v>
      </c>
    </row>
    <row r="9" spans="1:11" ht="16" customHeight="1">
      <c r="A9" s="154" t="s">
        <v>207</v>
      </c>
      <c r="B9" s="129">
        <f>'5.4'!D34</f>
        <v>111371</v>
      </c>
      <c r="C9" s="313">
        <f>'5.4'!E34</f>
        <v>91273.366999999998</v>
      </c>
      <c r="D9" s="129">
        <f>'5.4'!F34</f>
        <v>995782.80806499999</v>
      </c>
      <c r="E9" s="307">
        <f t="shared" si="0"/>
        <v>3.8513551374401461E-2</v>
      </c>
      <c r="F9" s="332">
        <f>'5.4'!H34</f>
        <v>0.12867183932707352</v>
      </c>
      <c r="G9" s="330">
        <f>AVERAGE('5.6'!G9,'5.7'!G9,'5.8'!G9)</f>
        <v>4.3749462365591389</v>
      </c>
      <c r="H9" s="325">
        <f>MAX('5.6'!H9,'5.7'!H9,'5.8'!H9)</f>
        <v>13.8</v>
      </c>
      <c r="I9" s="325">
        <f>MIN('5.6'!I9,'5.7'!I9,'5.8'!I9)</f>
        <v>-3</v>
      </c>
      <c r="J9" s="325">
        <f>AVERAGE('5.6'!J9,'5.7'!J9,'5.8'!J9)</f>
        <v>3.0000000000000004</v>
      </c>
      <c r="K9" s="324">
        <f t="shared" si="1"/>
        <v>1.3749462365591385</v>
      </c>
    </row>
    <row r="10" spans="1:11" ht="16" customHeight="1">
      <c r="A10" s="154" t="s">
        <v>32</v>
      </c>
      <c r="B10" s="129">
        <f>'5.5'!D34</f>
        <v>9475</v>
      </c>
      <c r="C10" s="313">
        <f>'5.5'!E34</f>
        <v>130760.40955000001</v>
      </c>
      <c r="D10" s="129">
        <f>'5.5'!F34</f>
        <v>1428319.182420369</v>
      </c>
      <c r="E10" s="307">
        <f t="shared" si="0"/>
        <v>5.5175435249821568E-2</v>
      </c>
      <c r="F10" s="332">
        <f>'5.5'!H34</f>
        <v>0.95167201969773729</v>
      </c>
      <c r="G10" s="330">
        <f>AVERAGE('5.6'!G10,'5.7'!G10,'5.8'!G10)</f>
        <v>4.6286021505376338</v>
      </c>
      <c r="H10" s="325">
        <f>MAX('5.6'!H10,'5.7'!H10,'5.8'!H10)</f>
        <v>14.6</v>
      </c>
      <c r="I10" s="325">
        <f>MIN('5.6'!I10,'5.7'!I10,'5.8'!I10)</f>
        <v>-2.6</v>
      </c>
      <c r="J10" s="325">
        <f>AVERAGE('5.6'!J10,'5.7'!J10,'5.8'!J10)</f>
        <v>3.83921146953405</v>
      </c>
      <c r="K10" s="324">
        <f t="shared" si="1"/>
        <v>0.78939068100358378</v>
      </c>
    </row>
    <row r="11" spans="1:11" ht="16" customHeight="1">
      <c r="A11" s="159" t="s">
        <v>3</v>
      </c>
      <c r="B11" s="310">
        <f>'5.1'!D35</f>
        <v>2727457</v>
      </c>
      <c r="C11" s="314">
        <f>'5.1'!E35</f>
        <v>2369902.637975527</v>
      </c>
      <c r="D11" s="310">
        <f>'5.1'!F35</f>
        <v>25862182.864908233</v>
      </c>
      <c r="E11" s="311">
        <f t="shared" ref="E11" si="2">SUM(E7:E10)</f>
        <v>1</v>
      </c>
      <c r="F11" s="333">
        <f>'5.1'!H35</f>
        <v>0.14131992877303923</v>
      </c>
      <c r="G11" s="331">
        <f>AVERAGE('5.6'!G11,'5.7'!G11,'5.8'!G11)</f>
        <v>4.6286021505376338</v>
      </c>
      <c r="H11" s="329">
        <f>MAX('5.6'!H11,'5.7'!H11,'5.8'!H11)</f>
        <v>14.6</v>
      </c>
      <c r="I11" s="329">
        <f>MIN('5.6'!I11,'5.7'!I11,'5.8'!I11)</f>
        <v>-2.6</v>
      </c>
      <c r="J11" s="329">
        <f>AVERAGE('5.6'!J11,'5.7'!J11,'5.8'!J11)</f>
        <v>3.83921146953405</v>
      </c>
      <c r="K11" s="328">
        <f t="shared" si="1"/>
        <v>0.78939068100358378</v>
      </c>
    </row>
    <row r="12" spans="1:11" ht="15" customHeight="1">
      <c r="A12" s="101"/>
      <c r="B12" s="94"/>
      <c r="C12" s="504" t="s">
        <v>237</v>
      </c>
      <c r="D12" s="504"/>
      <c r="E12" s="504"/>
      <c r="F12" s="504"/>
      <c r="G12" s="507" t="s">
        <v>238</v>
      </c>
      <c r="H12" s="507"/>
      <c r="I12" s="507"/>
      <c r="J12" s="507"/>
      <c r="K12" s="507"/>
    </row>
    <row r="13" spans="1:11" ht="15" customHeight="1">
      <c r="A13" s="94"/>
      <c r="B13" s="94"/>
      <c r="C13" s="504"/>
      <c r="D13" s="504"/>
      <c r="E13" s="504"/>
      <c r="F13" s="504"/>
      <c r="G13" s="507" t="s">
        <v>239</v>
      </c>
      <c r="H13" s="507"/>
      <c r="I13" s="507"/>
      <c r="J13" s="507"/>
      <c r="K13" s="507"/>
    </row>
    <row r="14" spans="1:11" ht="15" customHeight="1">
      <c r="A14" s="94"/>
      <c r="B14" s="94"/>
      <c r="C14" s="98"/>
      <c r="D14" s="98"/>
      <c r="E14" s="98"/>
      <c r="F14" s="98"/>
      <c r="G14" s="87"/>
      <c r="H14" s="87"/>
      <c r="I14" s="87"/>
      <c r="J14" s="87"/>
      <c r="K14" s="87"/>
    </row>
    <row r="15" spans="1:11" ht="15" customHeight="1">
      <c r="A15" s="94"/>
      <c r="B15" s="94"/>
      <c r="C15" s="94"/>
      <c r="D15" s="99"/>
      <c r="E15" s="100"/>
      <c r="F15" s="100"/>
      <c r="G15" s="94"/>
      <c r="H15" s="101"/>
      <c r="I15" s="87"/>
      <c r="J15" s="94"/>
      <c r="K15" s="94"/>
    </row>
    <row r="16" spans="1:11" ht="18" customHeight="1">
      <c r="A16" s="508" t="s">
        <v>269</v>
      </c>
      <c r="B16" s="508"/>
      <c r="C16" s="508"/>
      <c r="D16" s="508"/>
      <c r="E16" s="508"/>
      <c r="F16" s="508" t="s">
        <v>270</v>
      </c>
      <c r="G16" s="508"/>
      <c r="H16" s="508"/>
      <c r="I16" s="508"/>
      <c r="J16" s="508"/>
      <c r="K16" s="508"/>
    </row>
    <row r="17" spans="1:11" ht="15" customHeight="1">
      <c r="A17" s="508"/>
      <c r="B17" s="508"/>
      <c r="C17" s="508"/>
      <c r="D17" s="508"/>
      <c r="E17" s="508"/>
      <c r="F17" s="508"/>
      <c r="G17" s="508"/>
      <c r="H17" s="508"/>
      <c r="I17" s="508"/>
      <c r="J17" s="508"/>
      <c r="K17" s="508"/>
    </row>
    <row r="18" spans="1:11" ht="15" customHeight="1">
      <c r="A18" s="120"/>
      <c r="B18" s="510"/>
      <c r="C18" s="510"/>
      <c r="D18" s="120"/>
      <c r="E18" s="120"/>
      <c r="F18" s="120"/>
      <c r="G18" s="120"/>
      <c r="H18" s="510"/>
      <c r="I18" s="510"/>
      <c r="J18" s="120"/>
      <c r="K18" s="120"/>
    </row>
    <row r="19" spans="1:11" ht="1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</row>
    <row r="20" spans="1:11" ht="1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</row>
    <row r="21" spans="1:11" ht="1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</row>
    <row r="22" spans="1:11" ht="1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</row>
    <row r="23" spans="1:1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</row>
    <row r="24" spans="1:1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</row>
    <row r="25" spans="1:1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</row>
    <row r="26" spans="1:11" ht="1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1" ht="1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</row>
    <row r="28" spans="1:11" ht="1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1:11" ht="1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</row>
    <row r="30" spans="1:11" ht="1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1" ht="1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1" ht="1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</row>
    <row r="33" spans="1:11" ht="15" customHeight="1">
      <c r="A33" s="508" t="s">
        <v>271</v>
      </c>
      <c r="B33" s="470"/>
      <c r="C33" s="470"/>
      <c r="D33" s="470"/>
      <c r="E33" s="470"/>
      <c r="F33" s="508" t="s">
        <v>65</v>
      </c>
      <c r="G33" s="508"/>
      <c r="H33" s="508"/>
      <c r="I33" s="508"/>
      <c r="J33" s="508"/>
      <c r="K33" s="508"/>
    </row>
    <row r="34" spans="1:11" ht="15" customHeight="1">
      <c r="A34" s="470"/>
      <c r="B34" s="470"/>
      <c r="C34" s="470"/>
      <c r="D34" s="470"/>
      <c r="E34" s="470"/>
      <c r="F34" s="508"/>
      <c r="G34" s="508"/>
      <c r="H34" s="508"/>
      <c r="I34" s="508"/>
      <c r="J34" s="508"/>
      <c r="K34" s="508"/>
    </row>
    <row r="35" spans="1:11" ht="15" customHeight="1">
      <c r="A35" s="120"/>
      <c r="B35" s="510"/>
      <c r="C35" s="510"/>
      <c r="D35" s="120"/>
      <c r="E35" s="121"/>
      <c r="F35" s="127"/>
      <c r="G35" s="127"/>
      <c r="H35" s="509"/>
      <c r="I35" s="509"/>
      <c r="J35" s="127"/>
      <c r="K35" s="127"/>
    </row>
    <row r="36" spans="1:11" ht="15" customHeight="1">
      <c r="A36" s="120"/>
      <c r="B36" s="120"/>
      <c r="C36" s="120"/>
      <c r="D36" s="120"/>
      <c r="E36" s="122"/>
      <c r="F36" s="122"/>
      <c r="G36" s="122"/>
      <c r="J36" s="122"/>
      <c r="K36" s="122"/>
    </row>
    <row r="37" spans="1:11" ht="1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</row>
    <row r="38" spans="1:11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</row>
    <row r="39" spans="1:11" ht="1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</row>
    <row r="40" spans="1:11" ht="1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</row>
    <row r="41" spans="1:11" ht="1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9">
    <mergeCell ref="C4:F4"/>
    <mergeCell ref="A2:B2"/>
    <mergeCell ref="A1:K1"/>
    <mergeCell ref="G4:K4"/>
    <mergeCell ref="A3:K3"/>
    <mergeCell ref="H35:I35"/>
    <mergeCell ref="B5:B6"/>
    <mergeCell ref="C12:F13"/>
    <mergeCell ref="G12:K12"/>
    <mergeCell ref="G13:K13"/>
    <mergeCell ref="B18:C18"/>
    <mergeCell ref="H18:I18"/>
    <mergeCell ref="B35:C35"/>
    <mergeCell ref="E5:E6"/>
    <mergeCell ref="F5:F6"/>
    <mergeCell ref="A16:E17"/>
    <mergeCell ref="A33:E34"/>
    <mergeCell ref="F33:K34"/>
    <mergeCell ref="F16:K1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E47"/>
  <sheetViews>
    <sheetView showGridLines="0" zoomScaleNormal="100" zoomScaleSheetLayoutView="100" workbookViewId="0">
      <selection activeCell="D1" sqref="D1"/>
    </sheetView>
  </sheetViews>
  <sheetFormatPr defaultColWidth="9.1796875" defaultRowHeight="13"/>
  <cols>
    <col min="1" max="1" width="5.81640625" style="47" customWidth="1"/>
    <col min="2" max="2" width="90.26953125" style="46" customWidth="1"/>
    <col min="3" max="3" width="3.26953125" style="47" bestFit="1" customWidth="1"/>
    <col min="4" max="4" width="9.1796875" style="47" customWidth="1"/>
    <col min="5" max="5" width="9.1796875" style="47" hidden="1" customWidth="1"/>
    <col min="6" max="16384" width="9.1796875" style="47"/>
  </cols>
  <sheetData>
    <row r="1" spans="1:5" ht="20">
      <c r="A1" s="69" t="s">
        <v>241</v>
      </c>
    </row>
    <row r="2" spans="1:5" ht="6" customHeight="1"/>
    <row r="3" spans="1:5" ht="14">
      <c r="A3" s="371" t="str">
        <f>MID(E3,1,1+IF(MID(E3,2,1)&lt;&gt;" ",IF(MID(E3,3,1)&lt;&gt;" ",IF(MID(E3,4,1)&lt;&gt;" ",3,2),1),0))</f>
        <v>1</v>
      </c>
      <c r="B3" s="372" t="str">
        <f>MID(E3,3+IF(MID(E3,2,1)&lt;&gt;" ",IF(MID(E3,3,1)&lt;&gt;" ",IF(MID(E3,4,1)&lt;&gt;" ",3,2),1),0),100)</f>
        <v>ZKRATKY A POJMY</v>
      </c>
      <c r="C3" s="48">
        <v>4</v>
      </c>
      <c r="E3" s="49" t="str">
        <f>'1'!A1</f>
        <v>1 ZKRATKY A POJMY</v>
      </c>
    </row>
    <row r="4" spans="1:5" ht="14">
      <c r="A4" s="371" t="str">
        <f t="shared" ref="A4:A36" si="0">MID(E4,1,1+IF(MID(E4,2,1)&lt;&gt;" ",IF(MID(E4,3,1)&lt;&gt;" ",IF(MID(E4,4,1)&lt;&gt;" ",3,2),1),0))</f>
        <v>2</v>
      </c>
      <c r="B4" s="372" t="str">
        <f t="shared" ref="B4:B36" si="1">MID(E4,3+IF(MID(E4,2,1)&lt;&gt;" ",IF(MID(E4,3,1)&lt;&gt;" ",IF(MID(E4,4,1)&lt;&gt;" ",3,2),1),0),100)</f>
        <v>STRUČNÝ PŘEHLED ZA IV. ČTVRTLETÍ 2024</v>
      </c>
      <c r="C4" s="48">
        <v>6</v>
      </c>
      <c r="E4" s="49" t="str">
        <f>'2'!A1</f>
        <v>2 STRUČNÝ PŘEHLED ZA IV. ČTVRTLETÍ 2024</v>
      </c>
    </row>
    <row r="5" spans="1:5" ht="14">
      <c r="A5" s="371" t="str">
        <f t="shared" si="0"/>
        <v>3</v>
      </c>
      <c r="B5" s="372" t="str">
        <f t="shared" si="1"/>
        <v>PLYNÁRENSKÁ SOUSTAVA</v>
      </c>
      <c r="C5" s="48">
        <v>7</v>
      </c>
      <c r="E5" s="49" t="str">
        <f>'3.1'!A1</f>
        <v>3 PLYNÁRENSKÁ SOUSTAVA</v>
      </c>
    </row>
    <row r="6" spans="1:5" ht="14">
      <c r="A6" s="371" t="str">
        <f t="shared" si="0"/>
        <v>3.1</v>
      </c>
      <c r="B6" s="372" t="str">
        <f t="shared" si="1"/>
        <v>Čtvrtletní bilance plynárenské soustavy ČR</v>
      </c>
      <c r="C6" s="48">
        <v>7</v>
      </c>
      <c r="E6" s="50" t="str">
        <f>'3.1'!A2</f>
        <v>3.1 Čtvrtletní bilance plynárenské soustavy ČR</v>
      </c>
    </row>
    <row r="7" spans="1:5" ht="14">
      <c r="A7" s="371" t="str">
        <f t="shared" si="0"/>
        <v>3.2</v>
      </c>
      <c r="B7" s="372" t="str">
        <f t="shared" si="1"/>
        <v>Bilance plynárenské soustavy ČR v průběhu roku</v>
      </c>
      <c r="C7" s="48">
        <v>8</v>
      </c>
      <c r="E7" s="50" t="str">
        <f>'3.2'!A1</f>
        <v>3.2 Bilance plynárenské soustavy ČR v průběhu roku</v>
      </c>
    </row>
    <row r="8" spans="1:5" ht="14">
      <c r="A8" s="371" t="str">
        <f t="shared" si="0"/>
        <v>4</v>
      </c>
      <c r="B8" s="372" t="str">
        <f t="shared" si="1"/>
        <v>SPOTŘEBA ZEMNÍHO PLYNU</v>
      </c>
      <c r="C8" s="48">
        <v>9</v>
      </c>
      <c r="E8" s="49" t="str">
        <f>'4.1'!A1</f>
        <v>4 SPOTŘEBA ZEMNÍHO PLYNU</v>
      </c>
    </row>
    <row r="9" spans="1:5" ht="14">
      <c r="A9" s="371" t="str">
        <f t="shared" si="0"/>
        <v>4.1</v>
      </c>
      <c r="B9" s="372" t="str">
        <f t="shared" si="1"/>
        <v>Spotřeba zemního plynu v ČR v průběhu roku</v>
      </c>
      <c r="C9" s="48">
        <v>9</v>
      </c>
      <c r="E9" s="49" t="str">
        <f>'4.1'!A2</f>
        <v>4.1 Spotřeba zemního plynu v ČR v průběhu roku</v>
      </c>
    </row>
    <row r="10" spans="1:5" ht="14">
      <c r="A10" s="371" t="str">
        <f t="shared" si="0"/>
        <v>4.2</v>
      </c>
      <c r="B10" s="372" t="str">
        <f t="shared" si="1"/>
        <v>Spotřeba zemního plynu v ČR podle kategorií zákazníků v průběhu roku</v>
      </c>
      <c r="C10" s="48">
        <v>10</v>
      </c>
      <c r="E10" s="50" t="str">
        <f>'4.2'!A1</f>
        <v>4.2 Spotřeba zemního plynu v ČR podle kategorií zákazníků v průběhu roku</v>
      </c>
    </row>
    <row r="11" spans="1:5" ht="14">
      <c r="A11" s="371" t="str">
        <f t="shared" si="0"/>
        <v>4.3</v>
      </c>
      <c r="B11" s="372" t="str">
        <f t="shared" si="1"/>
        <v>Denní průběh spotřeb zemního plynu v ČR</v>
      </c>
      <c r="C11" s="48">
        <v>11</v>
      </c>
      <c r="E11" s="50" t="str">
        <f>'4.3'!A1</f>
        <v>4.3 Denní průběh spotřeb zemního plynu v ČR</v>
      </c>
    </row>
    <row r="12" spans="1:5" ht="14">
      <c r="A12" s="371" t="str">
        <f t="shared" si="0"/>
        <v>5</v>
      </c>
      <c r="B12" s="372" t="str">
        <f t="shared" si="1"/>
        <v>SPOTŘEBA ZEMNÍHO PLYNU PODLE DISTRIBUČNÍCH SOUSTAV</v>
      </c>
      <c r="C12" s="48">
        <v>12</v>
      </c>
      <c r="E12" s="49" t="str">
        <f>'5.1'!A1</f>
        <v>5 SPOTŘEBA ZEMNÍHO PLYNU PODLE DISTRIBUČNÍCH SOUSTAV</v>
      </c>
    </row>
    <row r="13" spans="1:5" ht="14">
      <c r="A13" s="371" t="str">
        <f t="shared" si="0"/>
        <v>5.1</v>
      </c>
      <c r="B13" s="372" t="str">
        <f t="shared" si="1"/>
        <v>Spotřeba zemního plynu podle kategorií zákazníků v ČR</v>
      </c>
      <c r="C13" s="48">
        <v>12</v>
      </c>
      <c r="E13" s="50" t="str">
        <f>'5.1'!A2</f>
        <v>5.1 Spotřeba zemního plynu podle kategorií zákazníků v ČR</v>
      </c>
    </row>
    <row r="14" spans="1:5" ht="14">
      <c r="A14" s="371" t="str">
        <f t="shared" si="0"/>
        <v>5.2</v>
      </c>
      <c r="B14" s="372" t="str">
        <f t="shared" si="1"/>
        <v>Spotřeba zemního plynu u společnosti PP Distribuce</v>
      </c>
      <c r="C14" s="48">
        <v>13</v>
      </c>
      <c r="E14" s="51" t="str">
        <f>'5.2'!A1</f>
        <v>5.2 Spotřeba zemního plynu u společnosti PP Distribuce</v>
      </c>
    </row>
    <row r="15" spans="1:5" ht="14">
      <c r="A15" s="371" t="str">
        <f t="shared" si="0"/>
        <v>5.3</v>
      </c>
      <c r="B15" s="372" t="str">
        <f t="shared" si="1"/>
        <v>Spotřeba zemního plynu u společnosti GasNet</v>
      </c>
      <c r="C15" s="48">
        <v>14</v>
      </c>
      <c r="E15" s="52" t="str">
        <f>'5.3'!A1</f>
        <v>5.3 Spotřeba zemního plynu u společnosti GasNet</v>
      </c>
    </row>
    <row r="16" spans="1:5" ht="14">
      <c r="A16" s="371" t="str">
        <f t="shared" si="0"/>
        <v>5.4</v>
      </c>
      <c r="B16" s="372" t="str">
        <f t="shared" si="1"/>
        <v>Spotřeba zemního plynu u společnosti EG.D</v>
      </c>
      <c r="C16" s="48">
        <v>15</v>
      </c>
      <c r="E16" s="52" t="str">
        <f>'5.4'!A1</f>
        <v>5.4 Spotřeba zemního plynu u společnosti EG.D</v>
      </c>
    </row>
    <row r="17" spans="1:5" ht="14">
      <c r="A17" s="371" t="str">
        <f t="shared" si="0"/>
        <v>5.5</v>
      </c>
      <c r="B17" s="372" t="str">
        <f t="shared" si="1"/>
        <v>Spotřeba zemního plynu u ostatních společností</v>
      </c>
      <c r="C17" s="48">
        <v>16</v>
      </c>
      <c r="E17" s="52" t="str">
        <f>'5.5'!A1</f>
        <v>5.5 Spotřeba zemního plynu u ostatních společností</v>
      </c>
    </row>
    <row r="18" spans="1:5" ht="14">
      <c r="A18" s="371" t="str">
        <f t="shared" si="0"/>
        <v>5.6</v>
      </c>
      <c r="B18" s="372" t="str">
        <f t="shared" si="1"/>
        <v>Spotřeba zemního plynu a teplota ovzduší: říjen</v>
      </c>
      <c r="C18" s="48">
        <v>17</v>
      </c>
      <c r="E18" s="50" t="str">
        <f>'5.6'!A1</f>
        <v>5.6 Spotřeba zemního plynu a teplota ovzduší: říjen</v>
      </c>
    </row>
    <row r="19" spans="1:5" ht="14">
      <c r="A19" s="371" t="str">
        <f t="shared" si="0"/>
        <v>5.7</v>
      </c>
      <c r="B19" s="372" t="str">
        <f t="shared" si="1"/>
        <v>Spotřeba zemního plynu a teplota ovzduší: listopad</v>
      </c>
      <c r="C19" s="48">
        <v>18</v>
      </c>
      <c r="E19" s="50" t="str">
        <f>'5.7'!A1</f>
        <v>5.7 Spotřeba zemního plynu a teplota ovzduší: listopad</v>
      </c>
    </row>
    <row r="20" spans="1:5" ht="14">
      <c r="A20" s="371" t="str">
        <f t="shared" si="0"/>
        <v>5.8</v>
      </c>
      <c r="B20" s="372" t="str">
        <f t="shared" si="1"/>
        <v>Spotřeba zemního plynu a teplota ovzduší: prosinec</v>
      </c>
      <c r="C20" s="48">
        <v>19</v>
      </c>
      <c r="E20" s="50" t="str">
        <f>'5.8'!A1</f>
        <v>5.8 Spotřeba zemního plynu a teplota ovzduší: prosinec</v>
      </c>
    </row>
    <row r="21" spans="1:5" ht="14">
      <c r="A21" s="371" t="str">
        <f t="shared" si="0"/>
        <v>5.9</v>
      </c>
      <c r="B21" s="372" t="str">
        <f t="shared" si="1"/>
        <v>Spotřeba zemního plynu a teplota ovzduší: IV. čtvrtletí</v>
      </c>
      <c r="C21" s="48">
        <v>20</v>
      </c>
      <c r="E21" s="50" t="str">
        <f>'5.9'!A1</f>
        <v>5.9 Spotřeba zemního plynu a teplota ovzduší: IV. čtvrtletí</v>
      </c>
    </row>
    <row r="22" spans="1:5" ht="14">
      <c r="A22" s="371" t="str">
        <f t="shared" si="0"/>
        <v>5.10</v>
      </c>
      <c r="B22" s="372" t="str">
        <f t="shared" si="1"/>
        <v>Spotřeba zemního plynu podle plynárenských soustav v průběhu roku</v>
      </c>
      <c r="C22" s="48">
        <v>21</v>
      </c>
      <c r="E22" s="50" t="str">
        <f>'5.10'!A1</f>
        <v>5.10 Spotřeba zemního plynu podle plynárenských soustav v průběhu roku</v>
      </c>
    </row>
    <row r="23" spans="1:5" ht="14">
      <c r="A23" s="371" t="str">
        <f t="shared" si="0"/>
        <v>6</v>
      </c>
      <c r="B23" s="372" t="str">
        <f t="shared" si="1"/>
        <v>SPOTŘEBA ZEMNÍHO PLYNU PODLE KRAJŮ</v>
      </c>
      <c r="C23" s="48">
        <v>22</v>
      </c>
      <c r="E23" s="49" t="str">
        <f>'6.1'!A1</f>
        <v>6 SPOTŘEBA ZEMNÍHO PLYNU PODLE KRAJŮ</v>
      </c>
    </row>
    <row r="24" spans="1:5" ht="14">
      <c r="A24" s="371" t="str">
        <f t="shared" si="0"/>
        <v>6.1</v>
      </c>
      <c r="B24" s="372" t="str">
        <f t="shared" si="1"/>
        <v>Spotřeba zemního plynu: Jihočeský a Jihomoravský kraj</v>
      </c>
      <c r="C24" s="48">
        <v>22</v>
      </c>
      <c r="E24" s="50" t="str">
        <f>'6.1'!A2</f>
        <v>6.1 Spotřeba zemního plynu: Jihočeský a Jihomoravský kraj</v>
      </c>
    </row>
    <row r="25" spans="1:5" ht="14">
      <c r="A25" s="371" t="str">
        <f t="shared" si="0"/>
        <v>6.2</v>
      </c>
      <c r="B25" s="372" t="str">
        <f t="shared" si="1"/>
        <v>Spotřeba zemního plynu: Karlovarský a Královéhradecký kraj</v>
      </c>
      <c r="C25" s="48">
        <v>23</v>
      </c>
      <c r="E25" s="50" t="str">
        <f>'6.2'!A1</f>
        <v>6.2 Spotřeba zemního plynu: Karlovarský a Královéhradecký kraj</v>
      </c>
    </row>
    <row r="26" spans="1:5" ht="14">
      <c r="A26" s="371" t="str">
        <f t="shared" si="0"/>
        <v>6.3</v>
      </c>
      <c r="B26" s="372" t="str">
        <f t="shared" si="1"/>
        <v>Spotřeba zemního plynu: Liberecký a Moravskoslezský kraj</v>
      </c>
      <c r="C26" s="48">
        <v>24</v>
      </c>
      <c r="E26" s="50" t="str">
        <f>'6.3'!A1</f>
        <v>6.3 Spotřeba zemního plynu: Liberecký a Moravskoslezský kraj</v>
      </c>
    </row>
    <row r="27" spans="1:5" ht="14">
      <c r="A27" s="371" t="str">
        <f t="shared" si="0"/>
        <v>6.4</v>
      </c>
      <c r="B27" s="372" t="str">
        <f t="shared" si="1"/>
        <v>Spotřeba zemního plynu: Olomoucký a Pardubický kraj</v>
      </c>
      <c r="C27" s="48">
        <v>25</v>
      </c>
      <c r="E27" s="50" t="str">
        <f>'6.4'!A1</f>
        <v>6.4 Spotřeba zemního plynu: Olomoucký a Pardubický kraj</v>
      </c>
    </row>
    <row r="28" spans="1:5" ht="14">
      <c r="A28" s="371" t="str">
        <f t="shared" si="0"/>
        <v>6.5</v>
      </c>
      <c r="B28" s="372" t="str">
        <f t="shared" si="1"/>
        <v>Spotřeba zemního plynu: Plzeňský kraj a Hlavní město Praha</v>
      </c>
      <c r="C28" s="48">
        <v>26</v>
      </c>
      <c r="E28" s="50" t="str">
        <f>'6.5'!A1</f>
        <v>6.5 Spotřeba zemního plynu: Plzeňský kraj a Hlavní město Praha</v>
      </c>
    </row>
    <row r="29" spans="1:5" ht="14">
      <c r="A29" s="371" t="str">
        <f t="shared" si="0"/>
        <v>6.6</v>
      </c>
      <c r="B29" s="372" t="str">
        <f t="shared" si="1"/>
        <v>Spotřeba zemního plynu: Středočeský a Ústecký kraj</v>
      </c>
      <c r="C29" s="48">
        <v>27</v>
      </c>
      <c r="E29" s="50" t="str">
        <f>'6.6'!A1</f>
        <v>6.6 Spotřeba zemního plynu: Středočeský a Ústecký kraj</v>
      </c>
    </row>
    <row r="30" spans="1:5" ht="14">
      <c r="A30" s="371" t="str">
        <f t="shared" si="0"/>
        <v>6.7</v>
      </c>
      <c r="B30" s="372" t="str">
        <f t="shared" si="1"/>
        <v>Spotřeba zemního plynu: Kraj Vysočina a Zlínský kraj</v>
      </c>
      <c r="C30" s="48">
        <v>28</v>
      </c>
      <c r="E30" s="50" t="str">
        <f>'6.7'!A1</f>
        <v>6.7 Spotřeba zemního plynu: Kraj Vysočina a Zlínský kraj</v>
      </c>
    </row>
    <row r="31" spans="1:5" ht="14">
      <c r="A31" s="371" t="str">
        <f t="shared" si="0"/>
        <v>6.8</v>
      </c>
      <c r="B31" s="372" t="str">
        <f t="shared" si="1"/>
        <v>Spotřeba zemního plynu a teplota ovzduší podle krajů: říjen</v>
      </c>
      <c r="C31" s="48">
        <v>29</v>
      </c>
      <c r="E31" s="50" t="str">
        <f>'6.8'!A1</f>
        <v>6.8 Spotřeba zemního plynu a teplota ovzduší podle krajů: říjen</v>
      </c>
    </row>
    <row r="32" spans="1:5" ht="14">
      <c r="A32" s="371" t="str">
        <f t="shared" si="0"/>
        <v>6.9</v>
      </c>
      <c r="B32" s="372" t="str">
        <f t="shared" si="1"/>
        <v>Spotřeba zemního plynu a teplota ovzduší podle krajů: listopad</v>
      </c>
      <c r="C32" s="48">
        <v>30</v>
      </c>
      <c r="E32" s="50" t="str">
        <f>'6.9'!A1</f>
        <v>6.9 Spotřeba zemního plynu a teplota ovzduší podle krajů: listopad</v>
      </c>
    </row>
    <row r="33" spans="1:5" ht="14">
      <c r="A33" s="371" t="str">
        <f t="shared" si="0"/>
        <v>6.10</v>
      </c>
      <c r="B33" s="372" t="str">
        <f t="shared" si="1"/>
        <v>Spotřeba zemního plynu a teplota ovzduší podle krajů: prosinec</v>
      </c>
      <c r="C33" s="48">
        <v>31</v>
      </c>
      <c r="E33" s="50" t="str">
        <f>'6.10'!A1</f>
        <v>6.10 Spotřeba zemního plynu a teplota ovzduší podle krajů: prosinec</v>
      </c>
    </row>
    <row r="34" spans="1:5" ht="14">
      <c r="A34" s="371" t="str">
        <f t="shared" si="0"/>
        <v>6.11</v>
      </c>
      <c r="B34" s="372" t="str">
        <f t="shared" si="1"/>
        <v>Spotřeba zemního plynu a teplota ovzduší podle krajů: IV. čtvrtletí</v>
      </c>
      <c r="C34" s="48">
        <v>32</v>
      </c>
      <c r="E34" s="50" t="str">
        <f>'6.11'!A1</f>
        <v>6.11 Spotřeba zemního plynu a teplota ovzduší podle krajů: IV. čtvrtletí</v>
      </c>
    </row>
    <row r="35" spans="1:5" ht="14">
      <c r="A35" s="371" t="str">
        <f t="shared" si="0"/>
        <v>6.12</v>
      </c>
      <c r="B35" s="372" t="str">
        <f t="shared" si="1"/>
        <v>Spotřeba zemního plynu podle krajů v ČR v průběhu roku</v>
      </c>
      <c r="C35" s="48">
        <v>33</v>
      </c>
      <c r="E35" s="50" t="str">
        <f>'6.12'!A1</f>
        <v>6.12 Spotřeba zemního plynu podle krajů v ČR v průběhu roku</v>
      </c>
    </row>
    <row r="36" spans="1:5" ht="14">
      <c r="A36" s="371" t="str">
        <f t="shared" si="0"/>
        <v>7</v>
      </c>
      <c r="B36" s="372" t="str">
        <f t="shared" si="1"/>
        <v>MAPA PLYNÁRENSKÉ SOUSTAVY ČR</v>
      </c>
      <c r="C36" s="48">
        <v>35</v>
      </c>
      <c r="E36" s="49" t="str">
        <f>'7'!A1</f>
        <v>7 MAPA PLYNÁRENSKÉ SOUSTAVY ČR</v>
      </c>
    </row>
    <row r="37" spans="1:5" ht="12" customHeight="1">
      <c r="B37" s="53"/>
    </row>
    <row r="38" spans="1:5" ht="12" customHeight="1">
      <c r="B38" s="53"/>
    </row>
    <row r="39" spans="1:5" ht="12" customHeight="1">
      <c r="B39" s="53"/>
    </row>
    <row r="40" spans="1:5" ht="12" customHeight="1">
      <c r="B40" s="53"/>
    </row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</sheetData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"/>
  <dimension ref="A1:O42"/>
  <sheetViews>
    <sheetView showGridLines="0" zoomScaleNormal="100" zoomScaleSheetLayoutView="100" workbookViewId="0">
      <selection activeCell="D1" sqref="D1"/>
    </sheetView>
  </sheetViews>
  <sheetFormatPr defaultRowHeight="10"/>
  <cols>
    <col min="1" max="1" width="9.7265625" style="12" customWidth="1"/>
    <col min="2" max="10" width="8.81640625" style="12" customWidth="1"/>
    <col min="11" max="11" width="9" style="12" customWidth="1"/>
    <col min="12" max="12" width="9.26953125" style="12" bestFit="1" customWidth="1"/>
    <col min="13" max="13" width="11.453125" style="12" bestFit="1" customWidth="1"/>
    <col min="14" max="252" width="9.1796875" style="12"/>
    <col min="253" max="265" width="10.7265625" style="12" customWidth="1"/>
    <col min="266" max="508" width="9.1796875" style="12"/>
    <col min="509" max="521" width="10.7265625" style="12" customWidth="1"/>
    <col min="522" max="764" width="9.1796875" style="12"/>
    <col min="765" max="777" width="10.7265625" style="12" customWidth="1"/>
    <col min="778" max="1020" width="9.1796875" style="12"/>
    <col min="1021" max="1033" width="10.7265625" style="12" customWidth="1"/>
    <col min="1034" max="1276" width="9.1796875" style="12"/>
    <col min="1277" max="1289" width="10.7265625" style="12" customWidth="1"/>
    <col min="1290" max="1532" width="9.1796875" style="12"/>
    <col min="1533" max="1545" width="10.7265625" style="12" customWidth="1"/>
    <col min="1546" max="1788" width="9.1796875" style="12"/>
    <col min="1789" max="1801" width="10.7265625" style="12" customWidth="1"/>
    <col min="1802" max="2044" width="9.1796875" style="12"/>
    <col min="2045" max="2057" width="10.7265625" style="12" customWidth="1"/>
    <col min="2058" max="2300" width="9.1796875" style="12"/>
    <col min="2301" max="2313" width="10.7265625" style="12" customWidth="1"/>
    <col min="2314" max="2556" width="9.1796875" style="12"/>
    <col min="2557" max="2569" width="10.7265625" style="12" customWidth="1"/>
    <col min="2570" max="2812" width="9.1796875" style="12"/>
    <col min="2813" max="2825" width="10.7265625" style="12" customWidth="1"/>
    <col min="2826" max="3068" width="9.1796875" style="12"/>
    <col min="3069" max="3081" width="10.7265625" style="12" customWidth="1"/>
    <col min="3082" max="3324" width="9.1796875" style="12"/>
    <col min="3325" max="3337" width="10.7265625" style="12" customWidth="1"/>
    <col min="3338" max="3580" width="9.1796875" style="12"/>
    <col min="3581" max="3593" width="10.7265625" style="12" customWidth="1"/>
    <col min="3594" max="3836" width="9.1796875" style="12"/>
    <col min="3837" max="3849" width="10.7265625" style="12" customWidth="1"/>
    <col min="3850" max="4092" width="9.1796875" style="12"/>
    <col min="4093" max="4105" width="10.7265625" style="12" customWidth="1"/>
    <col min="4106" max="4348" width="9.1796875" style="12"/>
    <col min="4349" max="4361" width="10.7265625" style="12" customWidth="1"/>
    <col min="4362" max="4604" width="9.1796875" style="12"/>
    <col min="4605" max="4617" width="10.7265625" style="12" customWidth="1"/>
    <col min="4618" max="4860" width="9.1796875" style="12"/>
    <col min="4861" max="4873" width="10.7265625" style="12" customWidth="1"/>
    <col min="4874" max="5116" width="9.1796875" style="12"/>
    <col min="5117" max="5129" width="10.7265625" style="12" customWidth="1"/>
    <col min="5130" max="5372" width="9.1796875" style="12"/>
    <col min="5373" max="5385" width="10.7265625" style="12" customWidth="1"/>
    <col min="5386" max="5628" width="9.1796875" style="12"/>
    <col min="5629" max="5641" width="10.7265625" style="12" customWidth="1"/>
    <col min="5642" max="5884" width="9.1796875" style="12"/>
    <col min="5885" max="5897" width="10.7265625" style="12" customWidth="1"/>
    <col min="5898" max="6140" width="9.1796875" style="12"/>
    <col min="6141" max="6153" width="10.7265625" style="12" customWidth="1"/>
    <col min="6154" max="6396" width="9.1796875" style="12"/>
    <col min="6397" max="6409" width="10.7265625" style="12" customWidth="1"/>
    <col min="6410" max="6652" width="9.1796875" style="12"/>
    <col min="6653" max="6665" width="10.7265625" style="12" customWidth="1"/>
    <col min="6666" max="6908" width="9.1796875" style="12"/>
    <col min="6909" max="6921" width="10.7265625" style="12" customWidth="1"/>
    <col min="6922" max="7164" width="9.1796875" style="12"/>
    <col min="7165" max="7177" width="10.7265625" style="12" customWidth="1"/>
    <col min="7178" max="7420" width="9.1796875" style="12"/>
    <col min="7421" max="7433" width="10.7265625" style="12" customWidth="1"/>
    <col min="7434" max="7676" width="9.1796875" style="12"/>
    <col min="7677" max="7689" width="10.7265625" style="12" customWidth="1"/>
    <col min="7690" max="7932" width="9.1796875" style="12"/>
    <col min="7933" max="7945" width="10.7265625" style="12" customWidth="1"/>
    <col min="7946" max="8188" width="9.1796875" style="12"/>
    <col min="8189" max="8201" width="10.7265625" style="12" customWidth="1"/>
    <col min="8202" max="8444" width="9.1796875" style="12"/>
    <col min="8445" max="8457" width="10.7265625" style="12" customWidth="1"/>
    <col min="8458" max="8700" width="9.1796875" style="12"/>
    <col min="8701" max="8713" width="10.7265625" style="12" customWidth="1"/>
    <col min="8714" max="8956" width="9.1796875" style="12"/>
    <col min="8957" max="8969" width="10.7265625" style="12" customWidth="1"/>
    <col min="8970" max="9212" width="9.1796875" style="12"/>
    <col min="9213" max="9225" width="10.7265625" style="12" customWidth="1"/>
    <col min="9226" max="9468" width="9.1796875" style="12"/>
    <col min="9469" max="9481" width="10.7265625" style="12" customWidth="1"/>
    <col min="9482" max="9724" width="9.1796875" style="12"/>
    <col min="9725" max="9737" width="10.7265625" style="12" customWidth="1"/>
    <col min="9738" max="9980" width="9.1796875" style="12"/>
    <col min="9981" max="9993" width="10.7265625" style="12" customWidth="1"/>
    <col min="9994" max="10236" width="9.1796875" style="12"/>
    <col min="10237" max="10249" width="10.7265625" style="12" customWidth="1"/>
    <col min="10250" max="10492" width="9.1796875" style="12"/>
    <col min="10493" max="10505" width="10.7265625" style="12" customWidth="1"/>
    <col min="10506" max="10748" width="9.1796875" style="12"/>
    <col min="10749" max="10761" width="10.7265625" style="12" customWidth="1"/>
    <col min="10762" max="11004" width="9.1796875" style="12"/>
    <col min="11005" max="11017" width="10.7265625" style="12" customWidth="1"/>
    <col min="11018" max="11260" width="9.1796875" style="12"/>
    <col min="11261" max="11273" width="10.7265625" style="12" customWidth="1"/>
    <col min="11274" max="11516" width="9.1796875" style="12"/>
    <col min="11517" max="11529" width="10.7265625" style="12" customWidth="1"/>
    <col min="11530" max="11772" width="9.1796875" style="12"/>
    <col min="11773" max="11785" width="10.7265625" style="12" customWidth="1"/>
    <col min="11786" max="12028" width="9.1796875" style="12"/>
    <col min="12029" max="12041" width="10.7265625" style="12" customWidth="1"/>
    <col min="12042" max="12284" width="9.1796875" style="12"/>
    <col min="12285" max="12297" width="10.7265625" style="12" customWidth="1"/>
    <col min="12298" max="12540" width="9.1796875" style="12"/>
    <col min="12541" max="12553" width="10.7265625" style="12" customWidth="1"/>
    <col min="12554" max="12796" width="9.1796875" style="12"/>
    <col min="12797" max="12809" width="10.7265625" style="12" customWidth="1"/>
    <col min="12810" max="13052" width="9.1796875" style="12"/>
    <col min="13053" max="13065" width="10.7265625" style="12" customWidth="1"/>
    <col min="13066" max="13308" width="9.1796875" style="12"/>
    <col min="13309" max="13321" width="10.7265625" style="12" customWidth="1"/>
    <col min="13322" max="13564" width="9.1796875" style="12"/>
    <col min="13565" max="13577" width="10.7265625" style="12" customWidth="1"/>
    <col min="13578" max="13820" width="9.1796875" style="12"/>
    <col min="13821" max="13833" width="10.7265625" style="12" customWidth="1"/>
    <col min="13834" max="14076" width="9.1796875" style="12"/>
    <col min="14077" max="14089" width="10.7265625" style="12" customWidth="1"/>
    <col min="14090" max="14332" width="9.1796875" style="12"/>
    <col min="14333" max="14345" width="10.7265625" style="12" customWidth="1"/>
    <col min="14346" max="14588" width="9.1796875" style="12"/>
    <col min="14589" max="14601" width="10.7265625" style="12" customWidth="1"/>
    <col min="14602" max="14844" width="9.1796875" style="12"/>
    <col min="14845" max="14857" width="10.7265625" style="12" customWidth="1"/>
    <col min="14858" max="15100" width="9.1796875" style="12"/>
    <col min="15101" max="15113" width="10.7265625" style="12" customWidth="1"/>
    <col min="15114" max="15356" width="9.1796875" style="12"/>
    <col min="15357" max="15369" width="10.7265625" style="12" customWidth="1"/>
    <col min="15370" max="15612" width="9.1796875" style="12"/>
    <col min="15613" max="15625" width="10.7265625" style="12" customWidth="1"/>
    <col min="15626" max="15868" width="9.1796875" style="12"/>
    <col min="15869" max="15881" width="10.7265625" style="12" customWidth="1"/>
    <col min="15882" max="16124" width="9.1796875" style="12"/>
    <col min="16125" max="16137" width="10.7265625" style="12" customWidth="1"/>
    <col min="16138" max="16384" width="9.1796875" style="12"/>
  </cols>
  <sheetData>
    <row r="1" spans="1:15" ht="18">
      <c r="A1" s="441" t="s">
        <v>298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5" ht="6" customHeight="1">
      <c r="A2" s="514"/>
      <c r="B2" s="515"/>
      <c r="C2" s="515"/>
      <c r="D2" s="515"/>
      <c r="E2" s="515"/>
      <c r="F2" s="515"/>
      <c r="G2" s="515"/>
      <c r="H2" s="515"/>
      <c r="I2" s="515"/>
      <c r="J2" s="208"/>
      <c r="K2" s="207"/>
    </row>
    <row r="3" spans="1:15" ht="20.149999999999999" customHeight="1">
      <c r="A3" s="336">
        <f>'3.1'!A4</f>
        <v>2024</v>
      </c>
      <c r="B3" s="447" t="s">
        <v>272</v>
      </c>
      <c r="C3" s="450"/>
      <c r="D3" s="450"/>
      <c r="E3" s="450"/>
      <c r="F3" s="449"/>
      <c r="G3" s="447" t="s">
        <v>273</v>
      </c>
      <c r="H3" s="450"/>
      <c r="I3" s="450"/>
      <c r="J3" s="450"/>
      <c r="K3" s="450"/>
    </row>
    <row r="4" spans="1:15" ht="67.5" customHeight="1">
      <c r="A4" s="337"/>
      <c r="B4" s="338" t="s">
        <v>82</v>
      </c>
      <c r="C4" s="234" t="s">
        <v>88</v>
      </c>
      <c r="D4" s="234" t="s">
        <v>208</v>
      </c>
      <c r="E4" s="234" t="s">
        <v>83</v>
      </c>
      <c r="F4" s="339" t="s">
        <v>81</v>
      </c>
      <c r="G4" s="338" t="s">
        <v>82</v>
      </c>
      <c r="H4" s="234" t="s">
        <v>88</v>
      </c>
      <c r="I4" s="234" t="s">
        <v>208</v>
      </c>
      <c r="J4" s="234" t="s">
        <v>83</v>
      </c>
      <c r="K4" s="234" t="s">
        <v>81</v>
      </c>
    </row>
    <row r="5" spans="1:15" ht="18" customHeight="1">
      <c r="A5" s="176" t="s">
        <v>159</v>
      </c>
      <c r="B5" s="240">
        <v>127107.811328485</v>
      </c>
      <c r="C5" s="235">
        <v>843340.56519851869</v>
      </c>
      <c r="D5" s="236">
        <v>40978.987000000001</v>
      </c>
      <c r="E5" s="236">
        <v>40423.662759999999</v>
      </c>
      <c r="F5" s="242">
        <v>1051851.0262870037</v>
      </c>
      <c r="G5" s="334">
        <v>1386119.134508945</v>
      </c>
      <c r="H5" s="236">
        <v>9189040.019890001</v>
      </c>
      <c r="I5" s="236">
        <v>446491.16034999996</v>
      </c>
      <c r="J5" s="236">
        <v>441085.391742668</v>
      </c>
      <c r="K5" s="236">
        <v>11462735.706491614</v>
      </c>
      <c r="L5" s="56"/>
      <c r="M5" s="57"/>
      <c r="N5" s="57"/>
      <c r="O5" s="57"/>
    </row>
    <row r="6" spans="1:15" ht="18" customHeight="1">
      <c r="A6" s="176" t="s">
        <v>160</v>
      </c>
      <c r="B6" s="240">
        <v>82173.813024621995</v>
      </c>
      <c r="C6" s="236">
        <v>585500.47593778314</v>
      </c>
      <c r="D6" s="236">
        <v>28275.402330000004</v>
      </c>
      <c r="E6" s="236">
        <v>11995.02571</v>
      </c>
      <c r="F6" s="242">
        <v>707944.71700240509</v>
      </c>
      <c r="G6" s="334">
        <v>897286.96135804208</v>
      </c>
      <c r="H6" s="236">
        <v>6374501.5792199988</v>
      </c>
      <c r="I6" s="236">
        <v>308026.55420000001</v>
      </c>
      <c r="J6" s="236">
        <v>131314.99717807703</v>
      </c>
      <c r="K6" s="236">
        <v>7711130.0919561181</v>
      </c>
      <c r="L6" s="58"/>
      <c r="M6" s="57"/>
      <c r="N6" s="57"/>
      <c r="O6" s="57"/>
    </row>
    <row r="7" spans="1:15" ht="18" customHeight="1">
      <c r="A7" s="179" t="s">
        <v>161</v>
      </c>
      <c r="B7" s="241">
        <v>71973.185295773001</v>
      </c>
      <c r="C7" s="239">
        <v>537865.09998130566</v>
      </c>
      <c r="D7" s="239">
        <v>25675.688989999999</v>
      </c>
      <c r="E7" s="239">
        <v>19489.570699999997</v>
      </c>
      <c r="F7" s="243">
        <v>655003.54496707872</v>
      </c>
      <c r="G7" s="335">
        <v>783957.869663944</v>
      </c>
      <c r="H7" s="239">
        <v>5847263.6398100005</v>
      </c>
      <c r="I7" s="239">
        <v>279717.80323999992</v>
      </c>
      <c r="J7" s="239">
        <v>214177.61942017096</v>
      </c>
      <c r="K7" s="239">
        <v>7125116.9321341151</v>
      </c>
      <c r="L7" s="59"/>
      <c r="M7" s="57"/>
      <c r="N7" s="57"/>
      <c r="O7" s="57"/>
    </row>
    <row r="8" spans="1:15" ht="18" customHeight="1">
      <c r="A8" s="176" t="s">
        <v>162</v>
      </c>
      <c r="B8" s="240">
        <v>47442.915322694003</v>
      </c>
      <c r="C8" s="236">
        <v>384629.72412060894</v>
      </c>
      <c r="D8" s="236">
        <v>18628.033010000003</v>
      </c>
      <c r="E8" s="236">
        <v>24096.422350000001</v>
      </c>
      <c r="F8" s="242">
        <v>474797.09480330296</v>
      </c>
      <c r="G8" s="334">
        <v>516096.09767297399</v>
      </c>
      <c r="H8" s="236">
        <v>4190279.0273199994</v>
      </c>
      <c r="I8" s="236">
        <v>202873.75036999997</v>
      </c>
      <c r="J8" s="236">
        <v>262788.74053407495</v>
      </c>
      <c r="K8" s="236">
        <v>5172037.6158970473</v>
      </c>
      <c r="L8" s="58"/>
      <c r="M8" s="57"/>
      <c r="N8" s="57"/>
      <c r="O8" s="57"/>
    </row>
    <row r="9" spans="1:15" ht="18" customHeight="1">
      <c r="A9" s="176" t="s">
        <v>163</v>
      </c>
      <c r="B9" s="240">
        <v>25506.233211326999</v>
      </c>
      <c r="C9" s="236">
        <v>267131.91098103899</v>
      </c>
      <c r="D9" s="236">
        <v>12233.889009999999</v>
      </c>
      <c r="E9" s="236">
        <v>21757.483100000005</v>
      </c>
      <c r="F9" s="242">
        <v>326629.51630236598</v>
      </c>
      <c r="G9" s="334">
        <v>279291.87078601605</v>
      </c>
      <c r="H9" s="236">
        <v>2923789.3526799995</v>
      </c>
      <c r="I9" s="236">
        <v>133713.18551000001</v>
      </c>
      <c r="J9" s="236">
        <v>238280.07647465111</v>
      </c>
      <c r="K9" s="236">
        <v>3575074.4854506669</v>
      </c>
      <c r="L9" s="58"/>
      <c r="M9" s="57"/>
      <c r="N9" s="57"/>
      <c r="O9" s="57"/>
    </row>
    <row r="10" spans="1:15" ht="18" customHeight="1">
      <c r="A10" s="179" t="s">
        <v>164</v>
      </c>
      <c r="B10" s="241">
        <v>19061.653048189</v>
      </c>
      <c r="C10" s="239">
        <v>237258.01115327896</v>
      </c>
      <c r="D10" s="239">
        <v>10177.166999999999</v>
      </c>
      <c r="E10" s="239">
        <v>27585.82416</v>
      </c>
      <c r="F10" s="243">
        <v>294082.65536146797</v>
      </c>
      <c r="G10" s="335">
        <v>209015.26821300201</v>
      </c>
      <c r="H10" s="239">
        <v>2590869.4115800001</v>
      </c>
      <c r="I10" s="239">
        <v>111579.496367</v>
      </c>
      <c r="J10" s="239">
        <v>299570.93873183802</v>
      </c>
      <c r="K10" s="239">
        <v>3211035.1148918401</v>
      </c>
      <c r="L10" s="58"/>
      <c r="M10" s="57"/>
      <c r="N10" s="57"/>
      <c r="O10" s="57"/>
    </row>
    <row r="11" spans="1:15" ht="18" customHeight="1">
      <c r="A11" s="176" t="s">
        <v>165</v>
      </c>
      <c r="B11" s="240">
        <v>18355.838605499997</v>
      </c>
      <c r="C11" s="236">
        <v>226028.31241119697</v>
      </c>
      <c r="D11" s="236">
        <v>8777.576998999999</v>
      </c>
      <c r="E11" s="236">
        <v>16696.696899999995</v>
      </c>
      <c r="F11" s="242">
        <v>269858.42491569696</v>
      </c>
      <c r="G11" s="334">
        <v>200292.14613000402</v>
      </c>
      <c r="H11" s="236">
        <v>2467761.0180200003</v>
      </c>
      <c r="I11" s="236">
        <v>95754.142548000003</v>
      </c>
      <c r="J11" s="236">
        <v>181833.37534273302</v>
      </c>
      <c r="K11" s="236">
        <v>2945640.6820407375</v>
      </c>
      <c r="L11" s="58"/>
      <c r="M11" s="57"/>
      <c r="N11" s="57"/>
      <c r="O11" s="57"/>
    </row>
    <row r="12" spans="1:15" ht="18" customHeight="1">
      <c r="A12" s="176" t="s">
        <v>166</v>
      </c>
      <c r="B12" s="240">
        <v>16469.439620862002</v>
      </c>
      <c r="C12" s="236">
        <v>226377.14906046301</v>
      </c>
      <c r="D12" s="236">
        <v>9428.5440000000017</v>
      </c>
      <c r="E12" s="236">
        <v>27877.144189999999</v>
      </c>
      <c r="F12" s="242">
        <v>280152.27687132504</v>
      </c>
      <c r="G12" s="334">
        <v>179913.75930000702</v>
      </c>
      <c r="H12" s="236">
        <v>2473471.99083</v>
      </c>
      <c r="I12" s="236">
        <v>102909.096112</v>
      </c>
      <c r="J12" s="236">
        <v>304995.43368599995</v>
      </c>
      <c r="K12" s="236">
        <v>3061290.2799280067</v>
      </c>
      <c r="L12" s="58"/>
      <c r="M12" s="57"/>
      <c r="N12" s="57"/>
      <c r="O12" s="57"/>
    </row>
    <row r="13" spans="1:15" ht="18" customHeight="1">
      <c r="A13" s="179" t="s">
        <v>167</v>
      </c>
      <c r="B13" s="241">
        <v>24814.627887423005</v>
      </c>
      <c r="C13" s="239">
        <v>274342.183368692</v>
      </c>
      <c r="D13" s="239">
        <v>13241.093002</v>
      </c>
      <c r="E13" s="239">
        <v>24146.547180000001</v>
      </c>
      <c r="F13" s="243">
        <v>336544.45143811498</v>
      </c>
      <c r="G13" s="335">
        <v>271255.82120300998</v>
      </c>
      <c r="H13" s="239">
        <v>3002802.0387799996</v>
      </c>
      <c r="I13" s="239">
        <v>144866.02469799999</v>
      </c>
      <c r="J13" s="239">
        <v>264312.63476500002</v>
      </c>
      <c r="K13" s="239">
        <v>3683236.5194460098</v>
      </c>
      <c r="L13" s="58"/>
      <c r="M13" s="57"/>
      <c r="N13" s="57"/>
      <c r="O13" s="57"/>
    </row>
    <row r="14" spans="1:15" ht="18" customHeight="1">
      <c r="A14" s="176" t="s">
        <v>168</v>
      </c>
      <c r="B14" s="240">
        <v>53405.085647103995</v>
      </c>
      <c r="C14" s="236">
        <v>451140.30265065399</v>
      </c>
      <c r="D14" s="236">
        <v>21782.302</v>
      </c>
      <c r="E14" s="236">
        <v>28854.027329999997</v>
      </c>
      <c r="F14" s="242">
        <v>555181.71762775793</v>
      </c>
      <c r="G14" s="334">
        <v>584793.53704392305</v>
      </c>
      <c r="H14" s="236">
        <v>4940209.7533399994</v>
      </c>
      <c r="I14" s="236">
        <v>238774.676133</v>
      </c>
      <c r="J14" s="236">
        <v>315815.17811736889</v>
      </c>
      <c r="K14" s="236">
        <v>6079593.1446342915</v>
      </c>
      <c r="L14" s="58"/>
      <c r="M14" s="57"/>
      <c r="N14" s="57"/>
      <c r="O14" s="57"/>
    </row>
    <row r="15" spans="1:15" ht="18" customHeight="1">
      <c r="A15" s="176" t="s">
        <v>169</v>
      </c>
      <c r="B15" s="240">
        <v>95661.501860338001</v>
      </c>
      <c r="C15" s="236">
        <v>675535.3102779258</v>
      </c>
      <c r="D15" s="236">
        <v>32935.732999</v>
      </c>
      <c r="E15" s="236">
        <v>61344.728009999999</v>
      </c>
      <c r="F15" s="242">
        <v>865477.2731472638</v>
      </c>
      <c r="G15" s="334">
        <v>1044622.490355026</v>
      </c>
      <c r="H15" s="236">
        <v>7373494.9508199999</v>
      </c>
      <c r="I15" s="236">
        <v>359248.15967800003</v>
      </c>
      <c r="J15" s="236">
        <v>669455.28592199984</v>
      </c>
      <c r="K15" s="236">
        <v>9446820.8867750261</v>
      </c>
      <c r="L15" s="58"/>
      <c r="M15" s="57"/>
      <c r="N15" s="57"/>
      <c r="O15" s="57"/>
    </row>
    <row r="16" spans="1:15" ht="18" customHeight="1">
      <c r="A16" s="179" t="s">
        <v>170</v>
      </c>
      <c r="B16" s="241">
        <v>113032.593855642</v>
      </c>
      <c r="C16" s="239">
        <v>759094.06713386299</v>
      </c>
      <c r="D16" s="239">
        <v>36555.332001000002</v>
      </c>
      <c r="E16" s="239">
        <v>40561.654210000008</v>
      </c>
      <c r="F16" s="243">
        <v>949243.64720050502</v>
      </c>
      <c r="G16" s="335">
        <v>1231063.3494539151</v>
      </c>
      <c r="H16" s="239">
        <v>8263896.7934099985</v>
      </c>
      <c r="I16" s="239">
        <v>397759.97225399996</v>
      </c>
      <c r="J16" s="239">
        <v>443048.71838099993</v>
      </c>
      <c r="K16" s="239">
        <v>10335768.833498916</v>
      </c>
      <c r="L16" s="58"/>
      <c r="M16" s="57"/>
      <c r="N16" s="57"/>
      <c r="O16" s="57"/>
    </row>
    <row r="17" spans="1:11" ht="18" customHeight="1">
      <c r="A17" s="176" t="s">
        <v>48</v>
      </c>
      <c r="B17" s="240">
        <f>SUM(B5:B7)</f>
        <v>281254.80964888004</v>
      </c>
      <c r="C17" s="235">
        <f>SUM(C5:C7)</f>
        <v>1966706.1411176075</v>
      </c>
      <c r="D17" s="235">
        <f t="shared" ref="D17:J17" si="0">SUM(D5:D7)</f>
        <v>94930.078320000001</v>
      </c>
      <c r="E17" s="235">
        <f t="shared" si="0"/>
        <v>71908.259170000005</v>
      </c>
      <c r="F17" s="244">
        <f t="shared" si="0"/>
        <v>2414799.2882564873</v>
      </c>
      <c r="G17" s="240">
        <f t="shared" si="0"/>
        <v>3067363.965530931</v>
      </c>
      <c r="H17" s="235">
        <f t="shared" si="0"/>
        <v>21410805.238919999</v>
      </c>
      <c r="I17" s="235">
        <f t="shared" si="0"/>
        <v>1034235.5177899998</v>
      </c>
      <c r="J17" s="235">
        <f t="shared" si="0"/>
        <v>786578.0083409159</v>
      </c>
      <c r="K17" s="235">
        <f>SUM(K5:K7)</f>
        <v>26298982.730581846</v>
      </c>
    </row>
    <row r="18" spans="1:11" ht="18" customHeight="1">
      <c r="A18" s="176" t="s">
        <v>56</v>
      </c>
      <c r="B18" s="240">
        <f>SUM(B8:B10)</f>
        <v>92010.801582209999</v>
      </c>
      <c r="C18" s="235">
        <f>SUM(C8:C10)</f>
        <v>889019.64625492692</v>
      </c>
      <c r="D18" s="235">
        <f t="shared" ref="D18:J18" si="1">SUM(D8:D10)</f>
        <v>41039.089019999999</v>
      </c>
      <c r="E18" s="235">
        <f t="shared" si="1"/>
        <v>73439.729610000009</v>
      </c>
      <c r="F18" s="244">
        <f t="shared" si="1"/>
        <v>1095509.2664671368</v>
      </c>
      <c r="G18" s="240">
        <f t="shared" si="1"/>
        <v>1004403.2366719921</v>
      </c>
      <c r="H18" s="235">
        <f t="shared" si="1"/>
        <v>9704937.791579999</v>
      </c>
      <c r="I18" s="235">
        <f t="shared" si="1"/>
        <v>448166.43224699999</v>
      </c>
      <c r="J18" s="235">
        <f t="shared" si="1"/>
        <v>800639.75574056408</v>
      </c>
      <c r="K18" s="235">
        <f>SUM(K8:K10)</f>
        <v>11958147.216239555</v>
      </c>
    </row>
    <row r="19" spans="1:11" ht="18" customHeight="1">
      <c r="A19" s="176" t="s">
        <v>63</v>
      </c>
      <c r="B19" s="240">
        <f>SUM(B11:B13)</f>
        <v>59639.906113785008</v>
      </c>
      <c r="C19" s="235">
        <f>SUM(C11:C13)</f>
        <v>726747.644840352</v>
      </c>
      <c r="D19" s="235">
        <f t="shared" ref="D19:J19" si="2">SUM(D11:D13)</f>
        <v>31447.214001</v>
      </c>
      <c r="E19" s="235">
        <f t="shared" si="2"/>
        <v>68720.388269999996</v>
      </c>
      <c r="F19" s="244">
        <f t="shared" si="2"/>
        <v>886555.15322513692</v>
      </c>
      <c r="G19" s="240">
        <f t="shared" si="2"/>
        <v>651461.72663302103</v>
      </c>
      <c r="H19" s="235">
        <f t="shared" si="2"/>
        <v>7944035.0476300009</v>
      </c>
      <c r="I19" s="235">
        <f t="shared" si="2"/>
        <v>343529.26335799997</v>
      </c>
      <c r="J19" s="235">
        <f t="shared" si="2"/>
        <v>751141.44379373291</v>
      </c>
      <c r="K19" s="235">
        <f>SUM(K11:K13)</f>
        <v>9690167.4814147539</v>
      </c>
    </row>
    <row r="20" spans="1:11" ht="18" customHeight="1">
      <c r="A20" s="179" t="s">
        <v>57</v>
      </c>
      <c r="B20" s="241">
        <f>SUM(B14:B16)</f>
        <v>262099.181363084</v>
      </c>
      <c r="C20" s="238">
        <f>SUM(C14:C16)</f>
        <v>1885769.6800624428</v>
      </c>
      <c r="D20" s="238">
        <f t="shared" ref="D20:J20" si="3">SUM(D14:D16)</f>
        <v>91273.366999999998</v>
      </c>
      <c r="E20" s="238">
        <f t="shared" si="3"/>
        <v>130760.40955000001</v>
      </c>
      <c r="F20" s="400">
        <f t="shared" si="3"/>
        <v>2369902.637975527</v>
      </c>
      <c r="G20" s="241">
        <f t="shared" si="3"/>
        <v>2860479.3768528644</v>
      </c>
      <c r="H20" s="238">
        <f t="shared" si="3"/>
        <v>20577601.497569997</v>
      </c>
      <c r="I20" s="238">
        <f t="shared" si="3"/>
        <v>995782.80806499999</v>
      </c>
      <c r="J20" s="238">
        <f t="shared" si="3"/>
        <v>1428319.1824203688</v>
      </c>
      <c r="K20" s="238">
        <f>SUM(K14:K16)</f>
        <v>25862182.864908233</v>
      </c>
    </row>
    <row r="21" spans="1:11" ht="18" customHeight="1">
      <c r="A21" s="176" t="s">
        <v>58</v>
      </c>
      <c r="B21" s="240">
        <f>SUM(B5:B10)</f>
        <v>373265.61123109004</v>
      </c>
      <c r="C21" s="235">
        <f>SUM(C5:C10)</f>
        <v>2855725.7873725342</v>
      </c>
      <c r="D21" s="235">
        <f t="shared" ref="D21:J21" si="4">SUM(D5:D10)</f>
        <v>135969.16733999999</v>
      </c>
      <c r="E21" s="235">
        <f t="shared" si="4"/>
        <v>145347.98878000001</v>
      </c>
      <c r="F21" s="244">
        <f t="shared" si="4"/>
        <v>3510308.5547236241</v>
      </c>
      <c r="G21" s="240">
        <f t="shared" si="4"/>
        <v>4071767.2022029227</v>
      </c>
      <c r="H21" s="235">
        <f t="shared" si="4"/>
        <v>31115743.030499998</v>
      </c>
      <c r="I21" s="235">
        <f t="shared" si="4"/>
        <v>1482401.9500369998</v>
      </c>
      <c r="J21" s="235">
        <f t="shared" si="4"/>
        <v>1587217.76408148</v>
      </c>
      <c r="K21" s="235">
        <f>SUM(K5:K10)</f>
        <v>38257129.946821406</v>
      </c>
    </row>
    <row r="22" spans="1:11" ht="18" customHeight="1">
      <c r="A22" s="179" t="s">
        <v>59</v>
      </c>
      <c r="B22" s="241">
        <f>SUM(B11:B16)</f>
        <v>321739.087476869</v>
      </c>
      <c r="C22" s="238">
        <f>SUM(C11:C16)</f>
        <v>2612517.3249027948</v>
      </c>
      <c r="D22" s="238">
        <f t="shared" ref="D22:J22" si="5">SUM(D11:D16)</f>
        <v>122720.581001</v>
      </c>
      <c r="E22" s="238">
        <f t="shared" si="5"/>
        <v>199480.79782000001</v>
      </c>
      <c r="F22" s="400">
        <f t="shared" si="5"/>
        <v>3256457.7912006639</v>
      </c>
      <c r="G22" s="241">
        <f t="shared" si="5"/>
        <v>3511941.1034858851</v>
      </c>
      <c r="H22" s="238">
        <f t="shared" si="5"/>
        <v>28521636.545199998</v>
      </c>
      <c r="I22" s="238">
        <f t="shared" si="5"/>
        <v>1339312.071423</v>
      </c>
      <c r="J22" s="238">
        <f t="shared" si="5"/>
        <v>2179460.6262141014</v>
      </c>
      <c r="K22" s="238">
        <f>SUM(K11:K16)</f>
        <v>35552350.346322991</v>
      </c>
    </row>
    <row r="23" spans="1:11" ht="18" customHeight="1">
      <c r="A23" s="216" t="s">
        <v>171</v>
      </c>
      <c r="B23" s="401">
        <f>SUM(B5:B16)</f>
        <v>695004.69870795903</v>
      </c>
      <c r="C23" s="402">
        <f>SUM(C5:C16)</f>
        <v>5468243.1122753285</v>
      </c>
      <c r="D23" s="402">
        <f t="shared" ref="D23:J23" si="6">SUM(D5:D16)</f>
        <v>258689.748341</v>
      </c>
      <c r="E23" s="402">
        <f t="shared" si="6"/>
        <v>344828.78659999999</v>
      </c>
      <c r="F23" s="403">
        <f t="shared" si="6"/>
        <v>6766766.345924288</v>
      </c>
      <c r="G23" s="401">
        <f t="shared" si="6"/>
        <v>7583708.3056888077</v>
      </c>
      <c r="H23" s="402">
        <f t="shared" si="6"/>
        <v>59637379.575699985</v>
      </c>
      <c r="I23" s="402">
        <f t="shared" si="6"/>
        <v>2821714.02146</v>
      </c>
      <c r="J23" s="402">
        <f t="shared" si="6"/>
        <v>3766678.3902955814</v>
      </c>
      <c r="K23" s="402">
        <f>SUM(K5:K16)</f>
        <v>73809480.29314439</v>
      </c>
    </row>
    <row r="25" spans="1:11" ht="12" customHeight="1">
      <c r="A25" s="513" t="s">
        <v>274</v>
      </c>
      <c r="B25" s="513"/>
      <c r="C25" s="513"/>
      <c r="D25" s="513"/>
      <c r="E25" s="513"/>
      <c r="F25" s="513"/>
      <c r="G25" s="513"/>
      <c r="H25" s="513"/>
      <c r="I25" s="513"/>
      <c r="J25" s="513"/>
      <c r="K25" s="513"/>
    </row>
    <row r="26" spans="1:11" ht="12" customHeight="1">
      <c r="E26" s="63"/>
      <c r="F26" s="63"/>
      <c r="G26" s="63"/>
      <c r="H26" s="63"/>
    </row>
    <row r="27" spans="1:11" ht="12" customHeight="1">
      <c r="E27" s="63"/>
      <c r="F27" s="63"/>
      <c r="G27" s="63"/>
    </row>
    <row r="28" spans="1:11" ht="12" customHeight="1">
      <c r="E28" s="63"/>
      <c r="F28" s="63"/>
      <c r="G28" s="63"/>
    </row>
    <row r="29" spans="1:11" ht="12" customHeight="1">
      <c r="E29" s="63"/>
      <c r="F29" s="63"/>
      <c r="G29" s="63"/>
    </row>
    <row r="30" spans="1:11" ht="12" customHeight="1">
      <c r="E30" s="63" t="str">
        <f>B4</f>
        <v xml:space="preserve"> PP Distribuce</v>
      </c>
      <c r="F30" s="63" t="str">
        <f t="shared" ref="F30:H30" si="7">C4</f>
        <v xml:space="preserve"> GasNet</v>
      </c>
      <c r="G30" s="63" t="str">
        <f t="shared" si="7"/>
        <v xml:space="preserve"> EG.D</v>
      </c>
      <c r="H30" s="63" t="str">
        <f t="shared" si="7"/>
        <v xml:space="preserve"> Ostatní společnosti</v>
      </c>
    </row>
    <row r="31" spans="1:11" ht="12" customHeight="1">
      <c r="D31" s="12" t="str">
        <f>A17</f>
        <v>I. čtvrtletí</v>
      </c>
      <c r="E31" s="12">
        <f t="shared" ref="E31:H34" si="8">B17</f>
        <v>281254.80964888004</v>
      </c>
      <c r="F31" s="12">
        <f t="shared" si="8"/>
        <v>1966706.1411176075</v>
      </c>
      <c r="G31" s="12">
        <f t="shared" si="8"/>
        <v>94930.078320000001</v>
      </c>
      <c r="H31" s="12">
        <f t="shared" si="8"/>
        <v>71908.259170000005</v>
      </c>
    </row>
    <row r="32" spans="1:11" ht="12" customHeight="1">
      <c r="D32" s="12" t="str">
        <f t="shared" ref="D32:D34" si="9">A18</f>
        <v>II. čtvrtletí</v>
      </c>
      <c r="E32" s="12">
        <f t="shared" si="8"/>
        <v>92010.801582209999</v>
      </c>
      <c r="F32" s="12">
        <f t="shared" si="8"/>
        <v>889019.64625492692</v>
      </c>
      <c r="G32" s="12">
        <f t="shared" si="8"/>
        <v>41039.089019999999</v>
      </c>
      <c r="H32" s="12">
        <f t="shared" si="8"/>
        <v>73439.729610000009</v>
      </c>
    </row>
    <row r="33" spans="4:8" ht="12" customHeight="1">
      <c r="D33" s="12" t="str">
        <f t="shared" si="9"/>
        <v>III. čtvrtletí</v>
      </c>
      <c r="E33" s="12">
        <f t="shared" si="8"/>
        <v>59639.906113785008</v>
      </c>
      <c r="F33" s="12">
        <f t="shared" si="8"/>
        <v>726747.644840352</v>
      </c>
      <c r="G33" s="12">
        <f t="shared" si="8"/>
        <v>31447.214001</v>
      </c>
      <c r="H33" s="12">
        <f t="shared" si="8"/>
        <v>68720.388269999996</v>
      </c>
    </row>
    <row r="34" spans="4:8" ht="12" customHeight="1">
      <c r="D34" s="12" t="str">
        <f t="shared" si="9"/>
        <v>IV. čtvrtletí</v>
      </c>
      <c r="E34" s="12">
        <f t="shared" si="8"/>
        <v>262099.181363084</v>
      </c>
      <c r="F34" s="12">
        <f t="shared" si="8"/>
        <v>1885769.6800624428</v>
      </c>
      <c r="G34" s="12">
        <f t="shared" si="8"/>
        <v>91273.366999999998</v>
      </c>
      <c r="H34" s="12">
        <f t="shared" si="8"/>
        <v>130760.40955000001</v>
      </c>
    </row>
    <row r="35" spans="4:8" ht="12" customHeight="1">
      <c r="E35" s="63"/>
      <c r="F35" s="63"/>
      <c r="G35" s="63"/>
    </row>
    <row r="36" spans="4:8" ht="12" customHeight="1">
      <c r="E36" s="63"/>
      <c r="F36" s="63"/>
      <c r="G36" s="63"/>
    </row>
    <row r="37" spans="4:8" ht="12" customHeight="1">
      <c r="E37" s="63"/>
      <c r="F37" s="63"/>
      <c r="G37" s="63"/>
    </row>
    <row r="38" spans="4:8" ht="12" customHeight="1"/>
    <row r="39" spans="4:8" ht="12" customHeight="1"/>
    <row r="40" spans="4:8" ht="12" customHeight="1"/>
    <row r="41" spans="4:8" ht="12" customHeight="1"/>
    <row r="42" spans="4:8" ht="12" customHeight="1"/>
  </sheetData>
  <mergeCells count="5">
    <mergeCell ref="A25:K25"/>
    <mergeCell ref="A1:K1"/>
    <mergeCell ref="A2:I2"/>
    <mergeCell ref="B3:F3"/>
    <mergeCell ref="G3:K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B18:K18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3"/>
  <dimension ref="A1:AM120"/>
  <sheetViews>
    <sheetView showGridLines="0" topLeftCell="A19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39" ht="20">
      <c r="A1" s="55" t="s">
        <v>286</v>
      </c>
    </row>
    <row r="2" spans="1:39" s="102" customFormat="1" ht="18">
      <c r="A2" s="496" t="s">
        <v>299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</row>
    <row r="3" spans="1:39" ht="6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39" ht="13" customHeight="1">
      <c r="A4" s="488" t="s">
        <v>35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39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39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39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39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</row>
    <row r="9" spans="1:39" ht="11.15" customHeight="1">
      <c r="A9" s="422" t="str">
        <f>'3.1'!D5</f>
        <v>Říjen</v>
      </c>
      <c r="B9" s="422"/>
      <c r="C9" s="164" t="s">
        <v>4</v>
      </c>
      <c r="D9" s="312">
        <v>64</v>
      </c>
      <c r="E9" s="308">
        <v>6354.816605</v>
      </c>
      <c r="F9" s="308">
        <v>69660.864145</v>
      </c>
      <c r="G9" s="309">
        <f>E9/$E$14</f>
        <v>0.33140488228214249</v>
      </c>
      <c r="H9" s="309">
        <f>(E9-I9)/I9</f>
        <v>2.6636999271489339E-3</v>
      </c>
      <c r="I9" s="312">
        <v>6337.9342500000002</v>
      </c>
      <c r="J9" s="308">
        <v>69634.883650000003</v>
      </c>
      <c r="K9" s="309">
        <f>I9/$I$14</f>
        <v>0.42806423029790841</v>
      </c>
      <c r="N9" s="77"/>
      <c r="O9" s="77"/>
      <c r="P9" s="77"/>
      <c r="Q9" s="77"/>
      <c r="R9" s="77"/>
      <c r="S9" s="77"/>
      <c r="T9" s="77"/>
      <c r="U9" s="103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7"/>
      <c r="AG9" s="77"/>
      <c r="AH9" s="77"/>
      <c r="AI9" s="77"/>
      <c r="AJ9" s="77"/>
      <c r="AK9" s="77"/>
      <c r="AL9" s="77"/>
      <c r="AM9" s="93"/>
    </row>
    <row r="10" spans="1:39" ht="11.15" customHeight="1">
      <c r="A10" s="423"/>
      <c r="B10" s="423"/>
      <c r="C10" s="154" t="s">
        <v>5</v>
      </c>
      <c r="D10" s="313">
        <v>297</v>
      </c>
      <c r="E10" s="129">
        <v>3894.312907</v>
      </c>
      <c r="F10" s="129">
        <v>42688.231039999999</v>
      </c>
      <c r="G10" s="307">
        <f>E10/$E$14</f>
        <v>0.20308915122723092</v>
      </c>
      <c r="H10" s="307">
        <f>(E10-I10)/I10</f>
        <v>0.82132364354140674</v>
      </c>
      <c r="I10" s="313">
        <v>2138.1773199999998</v>
      </c>
      <c r="J10" s="129">
        <v>23490.66246</v>
      </c>
      <c r="K10" s="307">
        <f>I10/$I$14</f>
        <v>0.1444125471522909</v>
      </c>
      <c r="L10" s="93"/>
      <c r="N10" s="77"/>
      <c r="O10" s="77"/>
      <c r="P10" s="77"/>
      <c r="Q10" s="77"/>
      <c r="R10" s="77"/>
      <c r="S10" s="77"/>
      <c r="T10" s="77"/>
      <c r="U10" s="103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7"/>
      <c r="AG10" s="77"/>
      <c r="AH10" s="77"/>
      <c r="AI10" s="77"/>
      <c r="AJ10" s="77"/>
      <c r="AK10" s="77"/>
      <c r="AL10" s="77"/>
    </row>
    <row r="11" spans="1:39" ht="11.15" customHeight="1">
      <c r="A11" s="423"/>
      <c r="B11" s="423"/>
      <c r="C11" s="154" t="s">
        <v>6</v>
      </c>
      <c r="D11" s="313">
        <v>9692</v>
      </c>
      <c r="E11" s="129">
        <v>3334.9234540000002</v>
      </c>
      <c r="F11" s="129">
        <v>36553.950973999999</v>
      </c>
      <c r="G11" s="307">
        <f>E11/$E$14</f>
        <v>0.17391688594494475</v>
      </c>
      <c r="H11" s="307">
        <f t="shared" ref="H11:H13" si="0">(E11-I11)/I11</f>
        <v>0.4395212214319647</v>
      </c>
      <c r="I11" s="313">
        <v>2316.6893300000002</v>
      </c>
      <c r="J11" s="129">
        <v>25452.964670000001</v>
      </c>
      <c r="K11" s="307">
        <f>I11/$I$14</f>
        <v>0.1564692525621936</v>
      </c>
      <c r="L11" s="93"/>
      <c r="N11" s="77"/>
      <c r="O11" s="77"/>
      <c r="P11" s="77"/>
      <c r="Q11" s="77"/>
      <c r="R11" s="77"/>
      <c r="S11" s="77"/>
      <c r="T11" s="77"/>
      <c r="U11" s="103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7"/>
      <c r="AG11" s="77"/>
      <c r="AH11" s="77"/>
      <c r="AI11" s="77"/>
      <c r="AJ11" s="77"/>
      <c r="AK11" s="77"/>
      <c r="AL11" s="77"/>
    </row>
    <row r="12" spans="1:39" ht="11.15" customHeight="1">
      <c r="A12" s="423"/>
      <c r="B12" s="423"/>
      <c r="C12" s="154" t="s">
        <v>7</v>
      </c>
      <c r="D12" s="313">
        <v>91964</v>
      </c>
      <c r="E12" s="129">
        <v>5286.7902299999996</v>
      </c>
      <c r="F12" s="129">
        <v>57951.475424000004</v>
      </c>
      <c r="G12" s="307">
        <f>E12/$E$14</f>
        <v>0.27570710576368096</v>
      </c>
      <c r="H12" s="307">
        <f t="shared" si="0"/>
        <v>0.437044546239788</v>
      </c>
      <c r="I12" s="313">
        <v>3678.9327399999997</v>
      </c>
      <c r="J12" s="129">
        <v>40420.704140000002</v>
      </c>
      <c r="K12" s="307">
        <f>I12/$I$14</f>
        <v>0.24847520494013881</v>
      </c>
      <c r="L12" s="93"/>
      <c r="N12" s="77"/>
      <c r="O12" s="77"/>
      <c r="P12" s="77"/>
      <c r="Q12" s="77"/>
      <c r="R12" s="77"/>
      <c r="S12" s="77"/>
      <c r="T12" s="77"/>
      <c r="U12" s="103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7"/>
      <c r="AG12" s="77"/>
      <c r="AH12" s="77"/>
      <c r="AI12" s="77"/>
      <c r="AJ12" s="77"/>
      <c r="AK12" s="77"/>
      <c r="AL12" s="77"/>
    </row>
    <row r="13" spans="1:39" ht="11.15" customHeight="1">
      <c r="A13" s="423"/>
      <c r="B13" s="423"/>
      <c r="C13" s="154" t="s">
        <v>92</v>
      </c>
      <c r="D13" s="313">
        <v>16</v>
      </c>
      <c r="E13" s="129">
        <v>304.54300000000001</v>
      </c>
      <c r="F13" s="129">
        <v>3338.4670780000001</v>
      </c>
      <c r="G13" s="307">
        <f>E13/$E$14</f>
        <v>1.5881974782000891E-2</v>
      </c>
      <c r="H13" s="307">
        <f t="shared" si="0"/>
        <v>-8.9018312783052486E-2</v>
      </c>
      <c r="I13" s="313">
        <v>334.30200000000002</v>
      </c>
      <c r="J13" s="129">
        <v>3673.0619999999999</v>
      </c>
      <c r="K13" s="307">
        <f>I13/$I$14</f>
        <v>2.2578765047468169E-2</v>
      </c>
      <c r="L13" s="93"/>
      <c r="N13" s="77"/>
      <c r="O13" s="77"/>
      <c r="P13" s="77"/>
      <c r="Q13" s="77"/>
      <c r="R13" s="77"/>
      <c r="S13" s="77"/>
      <c r="T13" s="77"/>
      <c r="U13" s="103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7"/>
      <c r="AG13" s="77"/>
      <c r="AH13" s="77"/>
      <c r="AI13" s="77"/>
      <c r="AJ13" s="77"/>
      <c r="AK13" s="77"/>
      <c r="AL13" s="77"/>
    </row>
    <row r="14" spans="1:39" ht="11.15" customHeight="1">
      <c r="A14" s="424"/>
      <c r="B14" s="424"/>
      <c r="C14" s="318" t="s">
        <v>0</v>
      </c>
      <c r="D14" s="321">
        <v>102033</v>
      </c>
      <c r="E14" s="319">
        <v>19175.386195999999</v>
      </c>
      <c r="F14" s="319">
        <v>210192.98866099998</v>
      </c>
      <c r="G14" s="320">
        <f>SUM(G9:G13)</f>
        <v>1</v>
      </c>
      <c r="H14" s="320">
        <f>(E14-I14)/I14</f>
        <v>0.29510604068760682</v>
      </c>
      <c r="I14" s="321">
        <v>14806.035640000002</v>
      </c>
      <c r="J14" s="319">
        <v>162672.27692</v>
      </c>
      <c r="K14" s="320">
        <f>SUM(K9:K13)</f>
        <v>0.99999999999999989</v>
      </c>
      <c r="L14" s="93"/>
      <c r="M14" s="93"/>
      <c r="N14" s="77"/>
      <c r="O14" s="77"/>
      <c r="P14" s="77"/>
      <c r="Q14" s="77"/>
      <c r="R14" s="77"/>
      <c r="S14" s="77"/>
      <c r="T14" s="77"/>
      <c r="U14" s="103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7"/>
      <c r="AG14" s="77"/>
      <c r="AH14" s="77"/>
      <c r="AI14" s="77"/>
      <c r="AJ14" s="77"/>
      <c r="AK14" s="77"/>
      <c r="AL14" s="77"/>
    </row>
    <row r="15" spans="1:39" ht="11.15" customHeight="1">
      <c r="A15" s="422" t="str">
        <f>'3.1'!E5</f>
        <v>Listopad</v>
      </c>
      <c r="B15" s="422"/>
      <c r="C15" s="164" t="s">
        <v>4</v>
      </c>
      <c r="D15" s="312">
        <v>64</v>
      </c>
      <c r="E15" s="308">
        <v>7246.091539</v>
      </c>
      <c r="F15" s="308">
        <v>79036.743466</v>
      </c>
      <c r="G15" s="309">
        <f>E15/$E$20</f>
        <v>0.25018650178886115</v>
      </c>
      <c r="H15" s="309">
        <f>(E15-I15)/I15</f>
        <v>2.6923164925518545E-3</v>
      </c>
      <c r="I15" s="312">
        <v>7226.6351500000001</v>
      </c>
      <c r="J15" s="308">
        <v>79094.799100000004</v>
      </c>
      <c r="K15" s="309">
        <f>I15/$I$20</f>
        <v>0.29082799652711544</v>
      </c>
      <c r="L15" s="93"/>
      <c r="M15" s="93"/>
      <c r="N15" s="77"/>
      <c r="O15" s="77"/>
      <c r="P15" s="77"/>
      <c r="Q15" s="77"/>
      <c r="R15" s="77"/>
      <c r="S15" s="77"/>
      <c r="T15" s="77"/>
      <c r="U15" s="103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7"/>
      <c r="AG15" s="77"/>
      <c r="AH15" s="77"/>
      <c r="AI15" s="77"/>
      <c r="AJ15" s="77"/>
      <c r="AK15" s="77"/>
      <c r="AL15" s="77"/>
    </row>
    <row r="16" spans="1:39" ht="11.15" customHeight="1">
      <c r="A16" s="423"/>
      <c r="B16" s="423"/>
      <c r="C16" s="154" t="s">
        <v>5</v>
      </c>
      <c r="D16" s="313">
        <v>296</v>
      </c>
      <c r="E16" s="129">
        <v>5135.0894859999999</v>
      </c>
      <c r="F16" s="129">
        <v>56011.656133999997</v>
      </c>
      <c r="G16" s="307">
        <f>E16/$E$20</f>
        <v>0.17729973020081399</v>
      </c>
      <c r="H16" s="307">
        <f>(E16-I16)/I16</f>
        <v>0.52448744960636262</v>
      </c>
      <c r="I16" s="313">
        <v>3368.40391</v>
      </c>
      <c r="J16" s="129">
        <v>36866.006720000005</v>
      </c>
      <c r="K16" s="307">
        <f>I16/$I$20</f>
        <v>0.13555771673894484</v>
      </c>
      <c r="L16" s="97"/>
      <c r="M16" s="93"/>
      <c r="N16" s="77"/>
      <c r="O16" s="77"/>
      <c r="P16" s="77"/>
      <c r="Q16" s="77"/>
      <c r="R16" s="77"/>
      <c r="S16" s="77"/>
      <c r="T16" s="77"/>
      <c r="U16" s="103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7"/>
      <c r="AG16" s="77"/>
      <c r="AH16" s="77"/>
      <c r="AI16" s="77"/>
      <c r="AJ16" s="77"/>
      <c r="AK16" s="77"/>
      <c r="AL16" s="77"/>
    </row>
    <row r="17" spans="1:38" ht="11.15" customHeight="1">
      <c r="A17" s="423"/>
      <c r="B17" s="423"/>
      <c r="C17" s="154" t="s">
        <v>6</v>
      </c>
      <c r="D17" s="313">
        <v>9687</v>
      </c>
      <c r="E17" s="129">
        <v>6292.7619599999998</v>
      </c>
      <c r="F17" s="129">
        <v>68637.306282000005</v>
      </c>
      <c r="G17" s="307">
        <f>E17/$E$20</f>
        <v>0.21727079942184779</v>
      </c>
      <c r="H17" s="307">
        <f t="shared" ref="H17:H20" si="1">(E17-I17)/I17</f>
        <v>0.16957041518214619</v>
      </c>
      <c r="I17" s="313">
        <v>5380.4045299999998</v>
      </c>
      <c r="J17" s="129">
        <v>58886.764950000004</v>
      </c>
      <c r="K17" s="307">
        <f>I17/$I$20</f>
        <v>0.21652847244755619</v>
      </c>
      <c r="L17" s="93"/>
      <c r="M17" s="93"/>
      <c r="N17" s="77"/>
      <c r="O17" s="77"/>
      <c r="P17" s="77"/>
      <c r="Q17" s="77"/>
      <c r="R17" s="77"/>
      <c r="S17" s="77"/>
      <c r="T17" s="77"/>
      <c r="U17" s="103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7"/>
      <c r="AG17" s="77"/>
      <c r="AH17" s="77"/>
      <c r="AI17" s="77"/>
      <c r="AJ17" s="77"/>
      <c r="AK17" s="77"/>
      <c r="AL17" s="77"/>
    </row>
    <row r="18" spans="1:38" ht="11.15" customHeight="1">
      <c r="A18" s="423"/>
      <c r="B18" s="423"/>
      <c r="C18" s="154" t="s">
        <v>7</v>
      </c>
      <c r="D18" s="313">
        <v>92006</v>
      </c>
      <c r="E18" s="129">
        <v>9987.4497449999999</v>
      </c>
      <c r="F18" s="129">
        <v>108940.707843</v>
      </c>
      <c r="G18" s="307">
        <f>E18/$E$20</f>
        <v>0.34483764109864407</v>
      </c>
      <c r="H18" s="307">
        <f t="shared" si="1"/>
        <v>0.1684914259879568</v>
      </c>
      <c r="I18" s="313">
        <v>8547.3025500000003</v>
      </c>
      <c r="J18" s="129">
        <v>93548.175989999989</v>
      </c>
      <c r="K18" s="307">
        <f>I18/$I$20</f>
        <v>0.3439768059035892</v>
      </c>
      <c r="L18" s="93"/>
      <c r="M18" s="93"/>
      <c r="N18" s="77"/>
      <c r="O18" s="77"/>
      <c r="P18" s="77"/>
      <c r="Q18" s="77"/>
      <c r="R18" s="77"/>
      <c r="S18" s="77"/>
      <c r="T18" s="77"/>
      <c r="U18" s="103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7"/>
      <c r="AG18" s="77"/>
      <c r="AH18" s="77"/>
      <c r="AI18" s="77"/>
      <c r="AJ18" s="77"/>
      <c r="AK18" s="77"/>
      <c r="AL18" s="77"/>
    </row>
    <row r="19" spans="1:38" ht="11.15" customHeight="1">
      <c r="A19" s="423"/>
      <c r="B19" s="423"/>
      <c r="C19" s="154" t="s">
        <v>92</v>
      </c>
      <c r="D19" s="313">
        <v>18</v>
      </c>
      <c r="E19" s="129">
        <v>301.36700000000002</v>
      </c>
      <c r="F19" s="129">
        <v>3287.0601409999999</v>
      </c>
      <c r="G19" s="307">
        <f>E19/$E$20</f>
        <v>1.0405327489833098E-2</v>
      </c>
      <c r="H19" s="307">
        <f t="shared" si="1"/>
        <v>-7.4820638609438717E-2</v>
      </c>
      <c r="I19" s="313">
        <v>325.73899999999998</v>
      </c>
      <c r="J19" s="129">
        <v>3566.1410000000001</v>
      </c>
      <c r="K19" s="307">
        <f>I19/$I$20</f>
        <v>1.3109008382794315E-2</v>
      </c>
      <c r="L19" s="93"/>
      <c r="M19" s="93"/>
      <c r="N19" s="77"/>
      <c r="O19" s="77"/>
      <c r="P19" s="77"/>
      <c r="Q19" s="77"/>
      <c r="R19" s="77"/>
      <c r="S19" s="77"/>
      <c r="T19" s="77"/>
      <c r="U19" s="103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7"/>
      <c r="AG19" s="77"/>
      <c r="AH19" s="77"/>
      <c r="AI19" s="77"/>
      <c r="AJ19" s="77"/>
      <c r="AK19" s="77"/>
      <c r="AL19" s="77"/>
    </row>
    <row r="20" spans="1:38" ht="11.15" customHeight="1">
      <c r="A20" s="424"/>
      <c r="B20" s="424"/>
      <c r="C20" s="318" t="s">
        <v>0</v>
      </c>
      <c r="D20" s="321">
        <v>102071</v>
      </c>
      <c r="E20" s="319">
        <v>28962.759729999998</v>
      </c>
      <c r="F20" s="319">
        <v>315913.47386600001</v>
      </c>
      <c r="G20" s="320">
        <f>SUM(G15:G19)</f>
        <v>1</v>
      </c>
      <c r="H20" s="320">
        <f t="shared" si="1"/>
        <v>0.16557446326484582</v>
      </c>
      <c r="I20" s="321">
        <v>24848.485140000001</v>
      </c>
      <c r="J20" s="319">
        <v>271961.88776000001</v>
      </c>
      <c r="K20" s="320">
        <f>SUM(K15:K19)</f>
        <v>1</v>
      </c>
      <c r="L20" s="93"/>
      <c r="M20" s="93"/>
      <c r="N20" s="77"/>
      <c r="O20" s="77"/>
      <c r="P20" s="77"/>
      <c r="Q20" s="77"/>
      <c r="R20" s="77"/>
      <c r="S20" s="77"/>
      <c r="T20" s="77"/>
      <c r="U20" s="103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7"/>
      <c r="AG20" s="77"/>
      <c r="AH20" s="77"/>
      <c r="AI20" s="77"/>
      <c r="AJ20" s="77"/>
      <c r="AK20" s="77"/>
      <c r="AL20" s="77"/>
    </row>
    <row r="21" spans="1:38" ht="11.15" customHeight="1">
      <c r="A21" s="422" t="str">
        <f>'3.1'!F5</f>
        <v>Prosinec</v>
      </c>
      <c r="B21" s="422"/>
      <c r="C21" s="164" t="s">
        <v>4</v>
      </c>
      <c r="D21" s="312">
        <v>64</v>
      </c>
      <c r="E21" s="308">
        <v>6603.4717039999996</v>
      </c>
      <c r="F21" s="308">
        <v>71852.375616000005</v>
      </c>
      <c r="G21" s="309">
        <f>E21/$E$26</f>
        <v>0.2058732796618723</v>
      </c>
      <c r="H21" s="309">
        <f>(E21-I21)/I21</f>
        <v>-3.4344281883439812E-2</v>
      </c>
      <c r="I21" s="312">
        <v>6838.3292099999999</v>
      </c>
      <c r="J21" s="308">
        <v>74596.597999999998</v>
      </c>
      <c r="K21" s="309">
        <f>I21/$I$26</f>
        <v>0.23021118960092757</v>
      </c>
      <c r="L21" s="88"/>
      <c r="M21" s="88"/>
      <c r="N21" s="77"/>
      <c r="O21" s="77"/>
      <c r="P21" s="77"/>
      <c r="Q21" s="77"/>
      <c r="R21" s="77"/>
      <c r="S21" s="77"/>
      <c r="T21" s="77"/>
      <c r="U21" s="103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7"/>
      <c r="AG21" s="77"/>
      <c r="AH21" s="77"/>
      <c r="AI21" s="77"/>
      <c r="AJ21" s="77"/>
      <c r="AK21" s="77"/>
      <c r="AL21" s="77"/>
    </row>
    <row r="22" spans="1:38" ht="11.15" customHeight="1">
      <c r="A22" s="423"/>
      <c r="B22" s="423"/>
      <c r="C22" s="154" t="s">
        <v>5</v>
      </c>
      <c r="D22" s="313">
        <v>297</v>
      </c>
      <c r="E22" s="129">
        <v>4756.3654640000004</v>
      </c>
      <c r="F22" s="129">
        <v>51754.809670999995</v>
      </c>
      <c r="G22" s="307">
        <f>E22/$E$26</f>
        <v>0.14828693166823073</v>
      </c>
      <c r="H22" s="307">
        <f t="shared" ref="H22:H26" si="2">(E22-I22)/I22</f>
        <v>0.29320421795577023</v>
      </c>
      <c r="I22" s="313">
        <v>3677.9693400000001</v>
      </c>
      <c r="J22" s="129">
        <v>40120.813300000002</v>
      </c>
      <c r="K22" s="307">
        <f>I22/$I$26</f>
        <v>0.12381821217951255</v>
      </c>
      <c r="L22" s="88"/>
      <c r="M22" s="88"/>
      <c r="N22" s="77"/>
      <c r="O22" s="77"/>
      <c r="P22" s="77"/>
      <c r="Q22" s="77"/>
      <c r="R22" s="77"/>
      <c r="S22" s="77"/>
      <c r="T22" s="77"/>
      <c r="U22" s="103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7"/>
      <c r="AG22" s="77"/>
      <c r="AH22" s="77"/>
      <c r="AI22" s="77"/>
      <c r="AJ22" s="77"/>
      <c r="AK22" s="77"/>
      <c r="AL22" s="77"/>
    </row>
    <row r="23" spans="1:38" ht="11.15" customHeight="1">
      <c r="A23" s="423"/>
      <c r="B23" s="423"/>
      <c r="C23" s="154" t="s">
        <v>6</v>
      </c>
      <c r="D23" s="313">
        <v>9660</v>
      </c>
      <c r="E23" s="129">
        <v>7896.273561</v>
      </c>
      <c r="F23" s="129">
        <v>85917.616353999998</v>
      </c>
      <c r="G23" s="307">
        <f>E23/$E$26</f>
        <v>0.24617834496446589</v>
      </c>
      <c r="H23" s="307">
        <f t="shared" si="2"/>
        <v>8.2203302335322304E-2</v>
      </c>
      <c r="I23" s="313">
        <v>7296.4789000000001</v>
      </c>
      <c r="J23" s="129">
        <v>79594.28710999999</v>
      </c>
      <c r="K23" s="307">
        <f>I23/$I$26</f>
        <v>0.24563472097990255</v>
      </c>
      <c r="L23" s="88"/>
      <c r="M23" s="88"/>
      <c r="N23" s="77"/>
      <c r="O23" s="77"/>
      <c r="P23" s="77"/>
      <c r="Q23" s="77"/>
      <c r="R23" s="77"/>
      <c r="S23" s="77"/>
      <c r="T23" s="77"/>
      <c r="U23" s="103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7"/>
      <c r="AG23" s="77"/>
      <c r="AH23" s="77"/>
      <c r="AI23" s="77"/>
      <c r="AJ23" s="77"/>
      <c r="AK23" s="77"/>
      <c r="AL23" s="77"/>
    </row>
    <row r="24" spans="1:38" ht="11.15" customHeight="1">
      <c r="A24" s="423"/>
      <c r="B24" s="423"/>
      <c r="C24" s="154" t="s">
        <v>7</v>
      </c>
      <c r="D24" s="313">
        <v>92012</v>
      </c>
      <c r="E24" s="129">
        <v>12538.762261</v>
      </c>
      <c r="F24" s="129">
        <v>136435.68585900002</v>
      </c>
      <c r="G24" s="307">
        <f>E24/$E$26</f>
        <v>0.39091499521515682</v>
      </c>
      <c r="H24" s="307">
        <f t="shared" si="2"/>
        <v>8.1466140559250458E-2</v>
      </c>
      <c r="I24" s="313">
        <v>11594.22546</v>
      </c>
      <c r="J24" s="129">
        <v>126478.06302</v>
      </c>
      <c r="K24" s="307">
        <f>I24/$I$26</f>
        <v>0.39031762784172269</v>
      </c>
      <c r="L24" s="88"/>
      <c r="M24" s="88"/>
      <c r="N24" s="77"/>
      <c r="O24" s="77"/>
      <c r="P24" s="77"/>
      <c r="Q24" s="77"/>
      <c r="R24" s="77"/>
      <c r="S24" s="77"/>
      <c r="T24" s="77"/>
      <c r="U24" s="103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7"/>
      <c r="AG24" s="77"/>
      <c r="AH24" s="77"/>
      <c r="AI24" s="77"/>
      <c r="AJ24" s="77"/>
      <c r="AK24" s="77"/>
      <c r="AL24" s="77"/>
    </row>
    <row r="25" spans="1:38" ht="11.15" customHeight="1">
      <c r="A25" s="423"/>
      <c r="B25" s="423"/>
      <c r="C25" s="154" t="s">
        <v>92</v>
      </c>
      <c r="D25" s="313">
        <v>18</v>
      </c>
      <c r="E25" s="129">
        <v>280.54599999999999</v>
      </c>
      <c r="F25" s="129">
        <v>3052.8661659999998</v>
      </c>
      <c r="G25" s="307">
        <f>E25/$E$26</f>
        <v>8.746448490274266E-3</v>
      </c>
      <c r="H25" s="307">
        <f t="shared" si="2"/>
        <v>-5.7267094103256949E-2</v>
      </c>
      <c r="I25" s="313">
        <v>297.58800000000002</v>
      </c>
      <c r="J25" s="129">
        <v>3246.03</v>
      </c>
      <c r="K25" s="307">
        <f>I25/$I$26</f>
        <v>1.0018249397934564E-2</v>
      </c>
      <c r="L25" s="88"/>
      <c r="M25" s="88"/>
      <c r="N25" s="77"/>
      <c r="O25" s="77"/>
      <c r="P25" s="77"/>
      <c r="Q25" s="77"/>
      <c r="R25" s="77"/>
      <c r="S25" s="77"/>
      <c r="T25" s="77"/>
      <c r="U25" s="103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7"/>
      <c r="AG25" s="77"/>
      <c r="AH25" s="77"/>
      <c r="AI25" s="77"/>
      <c r="AJ25" s="77"/>
      <c r="AK25" s="77"/>
      <c r="AL25" s="77"/>
    </row>
    <row r="26" spans="1:38" ht="11.15" customHeight="1">
      <c r="A26" s="424"/>
      <c r="B26" s="424"/>
      <c r="C26" s="318" t="s">
        <v>0</v>
      </c>
      <c r="D26" s="321">
        <v>102051</v>
      </c>
      <c r="E26" s="319">
        <v>32075.418989999998</v>
      </c>
      <c r="F26" s="319">
        <v>349013.35366600007</v>
      </c>
      <c r="G26" s="320">
        <f>SUM(G21:G25)</f>
        <v>1</v>
      </c>
      <c r="H26" s="320">
        <f t="shared" si="2"/>
        <v>7.9813524016648221E-2</v>
      </c>
      <c r="I26" s="321">
        <v>29704.590910000003</v>
      </c>
      <c r="J26" s="319">
        <v>324035.79143000004</v>
      </c>
      <c r="K26" s="320">
        <f>SUM(K21:K25)</f>
        <v>1</v>
      </c>
      <c r="N26" s="77"/>
      <c r="O26" s="77"/>
      <c r="P26" s="77"/>
      <c r="Q26" s="77"/>
      <c r="R26" s="77"/>
      <c r="S26" s="77"/>
      <c r="T26" s="77"/>
      <c r="U26" s="103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7"/>
      <c r="AG26" s="77"/>
      <c r="AH26" s="77"/>
      <c r="AI26" s="77"/>
      <c r="AJ26" s="77"/>
      <c r="AK26" s="77"/>
      <c r="AL26" s="77"/>
    </row>
    <row r="27" spans="1:38" ht="11.15" customHeight="1">
      <c r="A27" s="492" t="str">
        <f>'3.1'!G5</f>
        <v>IV. čtvrtletí</v>
      </c>
      <c r="B27" s="422"/>
      <c r="C27" s="164" t="s">
        <v>4</v>
      </c>
      <c r="D27" s="312">
        <f>D21</f>
        <v>64</v>
      </c>
      <c r="E27" s="308">
        <f>E9+E15+E21</f>
        <v>20204.379848</v>
      </c>
      <c r="F27" s="308">
        <f>F9+F15+F21</f>
        <v>220549.98322700002</v>
      </c>
      <c r="G27" s="309">
        <f>E27/$E$32</f>
        <v>0.25188233273459565</v>
      </c>
      <c r="H27" s="309">
        <f>(E27-I27)/I27</f>
        <v>-9.7299293494847051E-3</v>
      </c>
      <c r="I27" s="312">
        <f>I9+I15+I21</f>
        <v>20402.89861</v>
      </c>
      <c r="J27" s="308">
        <f>J9+J15+J21</f>
        <v>223326.28075000001</v>
      </c>
      <c r="K27" s="309">
        <f>I27/$I$32</f>
        <v>0.2941632052785017</v>
      </c>
      <c r="N27" s="77"/>
      <c r="O27" s="77"/>
      <c r="P27" s="77"/>
      <c r="Q27" s="77"/>
      <c r="R27" s="77"/>
      <c r="S27" s="77"/>
      <c r="T27" s="77"/>
      <c r="U27" s="103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7"/>
      <c r="AG27" s="77"/>
      <c r="AH27" s="77"/>
      <c r="AI27" s="77"/>
      <c r="AJ27" s="77"/>
      <c r="AK27" s="77"/>
      <c r="AL27" s="77"/>
    </row>
    <row r="28" spans="1:38" ht="11.15" customHeight="1">
      <c r="A28" s="423"/>
      <c r="B28" s="423"/>
      <c r="C28" s="154" t="s">
        <v>5</v>
      </c>
      <c r="D28" s="313">
        <f>D22</f>
        <v>297</v>
      </c>
      <c r="E28" s="129">
        <f t="shared" ref="E28:F28" si="3">E10+E16+E22</f>
        <v>13785.767857000001</v>
      </c>
      <c r="F28" s="129">
        <f t="shared" si="3"/>
        <v>150454.696845</v>
      </c>
      <c r="G28" s="307">
        <f>E28/$E$32</f>
        <v>0.17186329857595181</v>
      </c>
      <c r="H28" s="307">
        <f t="shared" ref="H28:H31" si="4">(E28-I28)/I28</f>
        <v>0.50097359167787803</v>
      </c>
      <c r="I28" s="313">
        <f t="shared" ref="I28:J28" si="5">I10+I16+I22</f>
        <v>9184.5505699999994</v>
      </c>
      <c r="J28" s="129">
        <f t="shared" si="5"/>
        <v>100477.48248000001</v>
      </c>
      <c r="K28" s="307">
        <f>I28/$I$32</f>
        <v>0.13242024510132533</v>
      </c>
      <c r="N28" s="77"/>
      <c r="O28" s="77"/>
      <c r="P28" s="77"/>
      <c r="Q28" s="77"/>
      <c r="R28" s="77"/>
      <c r="S28" s="77"/>
      <c r="T28" s="77"/>
      <c r="U28" s="103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7"/>
      <c r="AG28" s="77"/>
      <c r="AH28" s="77"/>
      <c r="AI28" s="77"/>
      <c r="AJ28" s="77"/>
      <c r="AK28" s="77"/>
      <c r="AL28" s="77"/>
    </row>
    <row r="29" spans="1:38" ht="11.15" customHeight="1">
      <c r="A29" s="423"/>
      <c r="B29" s="423"/>
      <c r="C29" s="154" t="s">
        <v>6</v>
      </c>
      <c r="D29" s="313">
        <f>D23</f>
        <v>9660</v>
      </c>
      <c r="E29" s="129">
        <f t="shared" ref="E29:F29" si="6">E11+E17+E23</f>
        <v>17523.958975000001</v>
      </c>
      <c r="F29" s="129">
        <f t="shared" si="6"/>
        <v>191108.87361000001</v>
      </c>
      <c r="G29" s="307">
        <f>E29/$E$32</f>
        <v>0.21846627803353669</v>
      </c>
      <c r="H29" s="307">
        <f t="shared" si="4"/>
        <v>0.16876472709363785</v>
      </c>
      <c r="I29" s="313">
        <f t="shared" ref="I29:J29" si="7">I11+I17+I23</f>
        <v>14993.572759999999</v>
      </c>
      <c r="J29" s="129">
        <f t="shared" si="7"/>
        <v>163934.01672999997</v>
      </c>
      <c r="K29" s="307">
        <f>I29/$I$32</f>
        <v>0.21617307942197492</v>
      </c>
      <c r="N29" s="77"/>
      <c r="O29" s="77"/>
      <c r="P29" s="77"/>
      <c r="Q29" s="77"/>
      <c r="R29" s="77"/>
      <c r="S29" s="77"/>
      <c r="T29" s="77"/>
      <c r="U29" s="103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7"/>
      <c r="AG29" s="77"/>
      <c r="AH29" s="77"/>
      <c r="AI29" s="77"/>
      <c r="AJ29" s="77"/>
      <c r="AK29" s="77"/>
      <c r="AL29" s="77"/>
    </row>
    <row r="30" spans="1:38" ht="11.15" customHeight="1">
      <c r="A30" s="423"/>
      <c r="B30" s="423"/>
      <c r="C30" s="154" t="s">
        <v>7</v>
      </c>
      <c r="D30" s="313">
        <f>D24</f>
        <v>92012</v>
      </c>
      <c r="E30" s="129">
        <f t="shared" ref="E30:F31" si="8">E12+E18+E24</f>
        <v>27813.002236</v>
      </c>
      <c r="F30" s="129">
        <f t="shared" si="8"/>
        <v>303327.86912600003</v>
      </c>
      <c r="G30" s="307">
        <f>E30/$E$32</f>
        <v>0.34673689250846662</v>
      </c>
      <c r="H30" s="307">
        <f t="shared" si="4"/>
        <v>0.16760975062163741</v>
      </c>
      <c r="I30" s="313">
        <f t="shared" ref="I30:J30" si="9">I12+I18+I24</f>
        <v>23820.460749999998</v>
      </c>
      <c r="J30" s="129">
        <f t="shared" si="9"/>
        <v>260446.94315000001</v>
      </c>
      <c r="K30" s="307">
        <f>I30/$I$32</f>
        <v>0.34343664688880904</v>
      </c>
      <c r="N30" s="77"/>
      <c r="O30" s="77"/>
      <c r="P30" s="77"/>
      <c r="Q30" s="77"/>
      <c r="R30" s="77"/>
      <c r="S30" s="77"/>
      <c r="T30" s="77"/>
      <c r="U30" s="103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7"/>
      <c r="AG30" s="77"/>
      <c r="AH30" s="77"/>
      <c r="AI30" s="77"/>
      <c r="AJ30" s="77"/>
      <c r="AK30" s="77"/>
      <c r="AL30" s="77"/>
    </row>
    <row r="31" spans="1:38" ht="11.15" customHeight="1">
      <c r="A31" s="423"/>
      <c r="B31" s="423"/>
      <c r="C31" s="154" t="s">
        <v>92</v>
      </c>
      <c r="D31" s="313">
        <f>D25</f>
        <v>18</v>
      </c>
      <c r="E31" s="129">
        <f>E13+E19+E25</f>
        <v>886.45600000000013</v>
      </c>
      <c r="F31" s="129">
        <f t="shared" si="8"/>
        <v>9678.3933849999994</v>
      </c>
      <c r="G31" s="307">
        <f>E31/$E$32</f>
        <v>1.1051198147449259E-2</v>
      </c>
      <c r="H31" s="307">
        <f t="shared" si="4"/>
        <v>-7.4322101774277699E-2</v>
      </c>
      <c r="I31" s="313">
        <f>I13+I19+I25</f>
        <v>957.62899999999991</v>
      </c>
      <c r="J31" s="129">
        <f t="shared" ref="J31" si="10">J13+J19+J25</f>
        <v>10485.233</v>
      </c>
      <c r="K31" s="307">
        <f>I31/$I$32</f>
        <v>1.3806823309388896E-2</v>
      </c>
      <c r="N31" s="77"/>
      <c r="O31" s="77"/>
      <c r="P31" s="77"/>
      <c r="Q31" s="77"/>
      <c r="R31" s="77"/>
      <c r="S31" s="77"/>
      <c r="T31" s="77"/>
      <c r="U31" s="103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7"/>
      <c r="AG31" s="77"/>
      <c r="AH31" s="77"/>
      <c r="AI31" s="77"/>
      <c r="AJ31" s="77"/>
      <c r="AK31" s="77"/>
      <c r="AL31" s="77"/>
    </row>
    <row r="32" spans="1:38" ht="11.15" customHeight="1">
      <c r="A32" s="424"/>
      <c r="B32" s="424"/>
      <c r="C32" s="318" t="s">
        <v>0</v>
      </c>
      <c r="D32" s="321">
        <f>SUM(D27:D31)</f>
        <v>102051</v>
      </c>
      <c r="E32" s="319">
        <f>SUM(E27:E31)</f>
        <v>80213.564916000003</v>
      </c>
      <c r="F32" s="319">
        <f>SUM(F27:F31)</f>
        <v>875119.81619300006</v>
      </c>
      <c r="G32" s="320">
        <f>SUM(G27:G31)</f>
        <v>1</v>
      </c>
      <c r="H32" s="320">
        <f>(E32-I32)/I32</f>
        <v>0.15649642796052363</v>
      </c>
      <c r="I32" s="321">
        <f>SUM(I27:I31)</f>
        <v>69359.111690000005</v>
      </c>
      <c r="J32" s="319">
        <f>SUM(J27:J31)</f>
        <v>758669.95611000003</v>
      </c>
      <c r="K32" s="320">
        <f>SUM(K27:K31)</f>
        <v>0.99999999999999989</v>
      </c>
      <c r="N32" s="77"/>
      <c r="O32" s="77"/>
      <c r="P32" s="77"/>
      <c r="Q32" s="77"/>
      <c r="R32" s="77"/>
      <c r="S32" s="77"/>
      <c r="T32" s="77"/>
      <c r="U32" s="103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7"/>
      <c r="AG32" s="77"/>
      <c r="AH32" s="77"/>
      <c r="AI32" s="77"/>
      <c r="AJ32" s="77"/>
      <c r="AK32" s="77"/>
      <c r="AL32" s="77"/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36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175</v>
      </c>
      <c r="E39" s="308">
        <v>31580.758999999998</v>
      </c>
      <c r="F39" s="308">
        <v>345824.95701999997</v>
      </c>
      <c r="G39" s="309">
        <f>E39/$E$44</f>
        <v>0.4403851936350725</v>
      </c>
      <c r="H39" s="309">
        <f>(E39-I39)/I39</f>
        <v>0.27405801851382072</v>
      </c>
      <c r="I39" s="312">
        <v>24787.536</v>
      </c>
      <c r="J39" s="308">
        <v>271987.63264000003</v>
      </c>
      <c r="K39" s="309">
        <f>I39/$I$44</f>
        <v>0.46446874970721885</v>
      </c>
    </row>
    <row r="40" spans="1:11" ht="11.15" customHeight="1">
      <c r="A40" s="423"/>
      <c r="B40" s="423"/>
      <c r="C40" s="154" t="s">
        <v>5</v>
      </c>
      <c r="D40" s="313">
        <v>798</v>
      </c>
      <c r="E40" s="129">
        <v>7913.96</v>
      </c>
      <c r="F40" s="129">
        <v>86661.887640000001</v>
      </c>
      <c r="G40" s="307">
        <f t="shared" ref="G40:G41" si="11">E40/$E$44</f>
        <v>0.11035804449855745</v>
      </c>
      <c r="H40" s="307">
        <f>(E40-I40)/I40</f>
        <v>0.27785100349917224</v>
      </c>
      <c r="I40" s="313">
        <v>6193.1790000000001</v>
      </c>
      <c r="J40" s="129">
        <v>67956.150920000029</v>
      </c>
      <c r="K40" s="307">
        <f t="shared" ref="K40:K43" si="12">I40/$I$44</f>
        <v>0.11604776315173095</v>
      </c>
    </row>
    <row r="41" spans="1:11" ht="11.15" customHeight="1">
      <c r="A41" s="423"/>
      <c r="B41" s="423"/>
      <c r="C41" s="154" t="s">
        <v>6</v>
      </c>
      <c r="D41" s="313">
        <v>23587</v>
      </c>
      <c r="E41" s="129">
        <v>9548.5720000000001</v>
      </c>
      <c r="F41" s="129">
        <v>104504.49025</v>
      </c>
      <c r="G41" s="307">
        <f t="shared" si="11"/>
        <v>0.13315226936624391</v>
      </c>
      <c r="H41" s="307">
        <f t="shared" ref="H41:H43" si="13">(E41-I41)/I41</f>
        <v>0.49755986704698363</v>
      </c>
      <c r="I41" s="313">
        <v>6376.0869999999995</v>
      </c>
      <c r="J41" s="129">
        <v>69963.939060000004</v>
      </c>
      <c r="K41" s="307">
        <f t="shared" si="12"/>
        <v>0.11947509251885512</v>
      </c>
    </row>
    <row r="42" spans="1:11" ht="11.15" customHeight="1">
      <c r="A42" s="423"/>
      <c r="B42" s="423"/>
      <c r="C42" s="154" t="s">
        <v>7</v>
      </c>
      <c r="D42" s="313">
        <v>346216</v>
      </c>
      <c r="E42" s="129">
        <v>21548.5</v>
      </c>
      <c r="F42" s="129">
        <v>235966.6</v>
      </c>
      <c r="G42" s="307">
        <f>E42/$E$44</f>
        <v>0.30048803909511357</v>
      </c>
      <c r="H42" s="307">
        <f t="shared" si="13"/>
        <v>0.44934993307640042</v>
      </c>
      <c r="I42" s="313">
        <v>14867.7</v>
      </c>
      <c r="J42" s="129">
        <v>163139.9</v>
      </c>
      <c r="K42" s="307">
        <f t="shared" si="12"/>
        <v>0.27859090270295594</v>
      </c>
    </row>
    <row r="43" spans="1:11" ht="11.15" customHeight="1">
      <c r="A43" s="423"/>
      <c r="B43" s="423"/>
      <c r="C43" s="154" t="s">
        <v>92</v>
      </c>
      <c r="D43" s="313">
        <v>30</v>
      </c>
      <c r="E43" s="129">
        <v>1119.8820000000001</v>
      </c>
      <c r="F43" s="129">
        <v>12263.259319999999</v>
      </c>
      <c r="G43" s="307">
        <f>E43/$E$44</f>
        <v>1.56164534050126E-2</v>
      </c>
      <c r="H43" s="307">
        <f t="shared" si="13"/>
        <v>-2.0224007391089035E-2</v>
      </c>
      <c r="I43" s="313">
        <v>1142.998</v>
      </c>
      <c r="J43" s="129">
        <v>12541.853329999998</v>
      </c>
      <c r="K43" s="307">
        <f t="shared" si="12"/>
        <v>2.1417491919239241E-2</v>
      </c>
    </row>
    <row r="44" spans="1:11" ht="11.15" customHeight="1">
      <c r="A44" s="424"/>
      <c r="B44" s="424"/>
      <c r="C44" s="318" t="s">
        <v>0</v>
      </c>
      <c r="D44" s="321">
        <v>370806</v>
      </c>
      <c r="E44" s="319">
        <v>71711.672999999995</v>
      </c>
      <c r="F44" s="319">
        <v>785221.19422999991</v>
      </c>
      <c r="G44" s="320">
        <f>SUM(G39:G43)</f>
        <v>1</v>
      </c>
      <c r="H44" s="320">
        <f>(E44-I44)/I44</f>
        <v>0.34373303977139652</v>
      </c>
      <c r="I44" s="321">
        <v>53367.499999999993</v>
      </c>
      <c r="J44" s="319">
        <v>585589.47594999999</v>
      </c>
      <c r="K44" s="320">
        <f>SUM(K39:K43)</f>
        <v>1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176</v>
      </c>
      <c r="E45" s="308">
        <v>38568.6</v>
      </c>
      <c r="F45" s="308">
        <v>420977.43066999997</v>
      </c>
      <c r="G45" s="309">
        <f>E45/$E$50</f>
        <v>0.34803295812177742</v>
      </c>
      <c r="H45" s="309">
        <f>(E45-I45)/I45</f>
        <v>0.13056175892130445</v>
      </c>
      <c r="I45" s="312">
        <v>34114.545000000006</v>
      </c>
      <c r="J45" s="308">
        <v>372891.93823000003</v>
      </c>
      <c r="K45" s="309">
        <f>I45/$I$50</f>
        <v>0.35225231783361161</v>
      </c>
    </row>
    <row r="46" spans="1:11" ht="11.15" customHeight="1">
      <c r="A46" s="423"/>
      <c r="B46" s="423"/>
      <c r="C46" s="154" t="s">
        <v>5</v>
      </c>
      <c r="D46" s="313">
        <v>797</v>
      </c>
      <c r="E46" s="129">
        <v>11720.281999999999</v>
      </c>
      <c r="F46" s="129">
        <v>127927.19938000001</v>
      </c>
      <c r="G46" s="307">
        <f t="shared" ref="G46:G48" si="14">E46/$E$50</f>
        <v>0.10576075912740991</v>
      </c>
      <c r="H46" s="307">
        <f>(E46-I46)/I46</f>
        <v>0.14820208811004601</v>
      </c>
      <c r="I46" s="313">
        <v>10207.508</v>
      </c>
      <c r="J46" s="129">
        <v>111573.96114000001</v>
      </c>
      <c r="K46" s="307">
        <f t="shared" ref="K46:K49" si="15">I46/$I$50</f>
        <v>0.10539839685111241</v>
      </c>
    </row>
    <row r="47" spans="1:11" ht="11.15" customHeight="1">
      <c r="A47" s="423"/>
      <c r="B47" s="423"/>
      <c r="C47" s="154" t="s">
        <v>6</v>
      </c>
      <c r="D47" s="313">
        <v>23583</v>
      </c>
      <c r="E47" s="129">
        <v>17625.303</v>
      </c>
      <c r="F47" s="129">
        <v>192337.96393</v>
      </c>
      <c r="G47" s="307">
        <f t="shared" si="14"/>
        <v>0.15904612407198185</v>
      </c>
      <c r="H47" s="307">
        <f t="shared" ref="H47:H49" si="16">(E47-I47)/I47</f>
        <v>0.17723599358712971</v>
      </c>
      <c r="I47" s="313">
        <v>14971.767</v>
      </c>
      <c r="J47" s="129">
        <v>163649.62426000001</v>
      </c>
      <c r="K47" s="307">
        <f t="shared" si="15"/>
        <v>0.15459211394479327</v>
      </c>
    </row>
    <row r="48" spans="1:11" ht="11.15" customHeight="1">
      <c r="A48" s="423"/>
      <c r="B48" s="423"/>
      <c r="C48" s="154" t="s">
        <v>7</v>
      </c>
      <c r="D48" s="313">
        <v>346027</v>
      </c>
      <c r="E48" s="129">
        <v>41782.699999999997</v>
      </c>
      <c r="F48" s="129">
        <v>456059.7</v>
      </c>
      <c r="G48" s="307">
        <f t="shared" si="14"/>
        <v>0.3770361558188472</v>
      </c>
      <c r="H48" s="307">
        <f t="shared" si="16"/>
        <v>0.14752959270550101</v>
      </c>
      <c r="I48" s="313">
        <v>36411</v>
      </c>
      <c r="J48" s="129">
        <v>397993.2</v>
      </c>
      <c r="K48" s="307">
        <f t="shared" si="15"/>
        <v>0.37596453784271872</v>
      </c>
    </row>
    <row r="49" spans="1:11" ht="11.15" customHeight="1">
      <c r="A49" s="423"/>
      <c r="B49" s="423"/>
      <c r="C49" s="154" t="s">
        <v>92</v>
      </c>
      <c r="D49" s="313">
        <v>30</v>
      </c>
      <c r="E49" s="129">
        <v>1121.93</v>
      </c>
      <c r="F49" s="129">
        <v>12245.904140000001</v>
      </c>
      <c r="G49" s="307">
        <f>E49/$E$50</f>
        <v>1.0124002859983661E-2</v>
      </c>
      <c r="H49" s="307">
        <f t="shared" si="16"/>
        <v>-1.7643247408237483E-2</v>
      </c>
      <c r="I49" s="313">
        <v>1142.08</v>
      </c>
      <c r="J49" s="129">
        <v>12483.583320000002</v>
      </c>
      <c r="K49" s="307">
        <f t="shared" si="15"/>
        <v>1.1792633527763923E-2</v>
      </c>
    </row>
    <row r="50" spans="1:11" ht="11.15" customHeight="1">
      <c r="A50" s="424"/>
      <c r="B50" s="424"/>
      <c r="C50" s="318" t="s">
        <v>0</v>
      </c>
      <c r="D50" s="321">
        <v>370613</v>
      </c>
      <c r="E50" s="319">
        <v>110818.81499999999</v>
      </c>
      <c r="F50" s="319">
        <v>1209548.1981200001</v>
      </c>
      <c r="G50" s="320">
        <f>SUM(G45:G49)</f>
        <v>1</v>
      </c>
      <c r="H50" s="320">
        <f t="shared" ref="H50" si="17">(E50-I50)/I50</f>
        <v>0.14426806640171216</v>
      </c>
      <c r="I50" s="321">
        <v>96846.900000000009</v>
      </c>
      <c r="J50" s="319">
        <v>1058592.3069500001</v>
      </c>
      <c r="K50" s="320">
        <f>SUM(K45:K49)</f>
        <v>0.99999999999999989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175</v>
      </c>
      <c r="E51" s="308">
        <v>41920.743999999999</v>
      </c>
      <c r="F51" s="308">
        <v>456370.95655</v>
      </c>
      <c r="G51" s="309">
        <f>E51/$E$56</f>
        <v>0.32225878489377252</v>
      </c>
      <c r="H51" s="309">
        <f>(E51-I51)/I51</f>
        <v>3.3410923235693835E-2</v>
      </c>
      <c r="I51" s="312">
        <v>40565.416000000012</v>
      </c>
      <c r="J51" s="308">
        <v>442386.70958999993</v>
      </c>
      <c r="K51" s="309">
        <f>I51/$I$56</f>
        <v>0.325501389366747</v>
      </c>
    </row>
    <row r="52" spans="1:11" ht="11.15" customHeight="1">
      <c r="A52" s="423"/>
      <c r="B52" s="423"/>
      <c r="C52" s="154" t="s">
        <v>5</v>
      </c>
      <c r="D52" s="313">
        <v>798</v>
      </c>
      <c r="E52" s="129">
        <v>13234.054</v>
      </c>
      <c r="F52" s="129">
        <v>144073.36645</v>
      </c>
      <c r="G52" s="307">
        <f t="shared" ref="G52:G55" si="18">E52/$E$56</f>
        <v>0.10173460092355638</v>
      </c>
      <c r="H52" s="307">
        <f t="shared" ref="H52:H55" si="19">(E52-I52)/I52</f>
        <v>4.5994731477081906E-2</v>
      </c>
      <c r="I52" s="313">
        <v>12652.122999999989</v>
      </c>
      <c r="J52" s="129">
        <v>137977.06840000016</v>
      </c>
      <c r="K52" s="307">
        <f t="shared" ref="K52:K55" si="20">I52/$I$56</f>
        <v>0.10152203578878545</v>
      </c>
    </row>
    <row r="53" spans="1:11" ht="11.15" customHeight="1">
      <c r="A53" s="423"/>
      <c r="B53" s="423"/>
      <c r="C53" s="154" t="s">
        <v>6</v>
      </c>
      <c r="D53" s="313">
        <v>23590</v>
      </c>
      <c r="E53" s="129">
        <v>21236.966</v>
      </c>
      <c r="F53" s="129">
        <v>231196.97344</v>
      </c>
      <c r="G53" s="307">
        <f t="shared" si="18"/>
        <v>0.16325566306720038</v>
      </c>
      <c r="H53" s="307">
        <f t="shared" si="19"/>
        <v>5.7173584128342225E-2</v>
      </c>
      <c r="I53" s="313">
        <v>20088.438000000013</v>
      </c>
      <c r="J53" s="129">
        <v>219072.96219999995</v>
      </c>
      <c r="K53" s="307">
        <f t="shared" si="20"/>
        <v>0.16119185069389547</v>
      </c>
    </row>
    <row r="54" spans="1:11" ht="11.15" customHeight="1">
      <c r="A54" s="423"/>
      <c r="B54" s="423"/>
      <c r="C54" s="154" t="s">
        <v>7</v>
      </c>
      <c r="D54" s="313">
        <v>345859</v>
      </c>
      <c r="E54" s="129">
        <v>52633.599999999999</v>
      </c>
      <c r="F54" s="129">
        <v>572996.69999999995</v>
      </c>
      <c r="G54" s="307">
        <f t="shared" si="18"/>
        <v>0.40461209325351827</v>
      </c>
      <c r="H54" s="307">
        <f t="shared" si="19"/>
        <v>4.7954131459252848E-2</v>
      </c>
      <c r="I54" s="313">
        <v>50225.099000000009</v>
      </c>
      <c r="J54" s="129">
        <v>547729.89899999998</v>
      </c>
      <c r="K54" s="307">
        <f t="shared" si="20"/>
        <v>0.40301175527405936</v>
      </c>
    </row>
    <row r="55" spans="1:11" ht="11.15" customHeight="1">
      <c r="A55" s="423"/>
      <c r="B55" s="423"/>
      <c r="C55" s="154" t="s">
        <v>92</v>
      </c>
      <c r="D55" s="313">
        <v>30</v>
      </c>
      <c r="E55" s="129">
        <v>1058.7360000000001</v>
      </c>
      <c r="F55" s="129">
        <v>11525.954400000001</v>
      </c>
      <c r="G55" s="307">
        <f t="shared" si="18"/>
        <v>8.1388578619523838E-3</v>
      </c>
      <c r="H55" s="307">
        <f t="shared" si="19"/>
        <v>-3.1637407324073441E-2</v>
      </c>
      <c r="I55" s="313">
        <v>1093.326</v>
      </c>
      <c r="J55" s="129">
        <v>11923.243980000001</v>
      </c>
      <c r="K55" s="307">
        <f t="shared" si="20"/>
        <v>8.772968876512641E-3</v>
      </c>
    </row>
    <row r="56" spans="1:11" ht="11.15" customHeight="1">
      <c r="A56" s="424"/>
      <c r="B56" s="424"/>
      <c r="C56" s="318" t="s">
        <v>0</v>
      </c>
      <c r="D56" s="321">
        <v>370452</v>
      </c>
      <c r="E56" s="319">
        <v>130084.1</v>
      </c>
      <c r="F56" s="319">
        <v>1416163.9508399998</v>
      </c>
      <c r="G56" s="320">
        <f>SUM(G51:G55)</f>
        <v>1</v>
      </c>
      <c r="H56" s="320">
        <f t="shared" ref="H56" si="21">(E56-I56)/I56</f>
        <v>4.3809221247055399E-2</v>
      </c>
      <c r="I56" s="321">
        <v>124624.40200000003</v>
      </c>
      <c r="J56" s="319">
        <v>1359089.88317</v>
      </c>
      <c r="K56" s="320">
        <f>SUM(K51:K55)</f>
        <v>0.99999999999999989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175</v>
      </c>
      <c r="E57" s="308">
        <f>E39+E45+E51</f>
        <v>112070.103</v>
      </c>
      <c r="F57" s="308">
        <f>F39+F45+F51</f>
        <v>1223173.34424</v>
      </c>
      <c r="G57" s="309">
        <f>E57/$E$62</f>
        <v>0.35849287685832498</v>
      </c>
      <c r="H57" s="309">
        <f>(E57-I57)/I57</f>
        <v>0.12670074526958272</v>
      </c>
      <c r="I57" s="312">
        <f>I39+I45+I51</f>
        <v>99467.497000000018</v>
      </c>
      <c r="J57" s="308">
        <f>J39+J45+J51</f>
        <v>1087266.28046</v>
      </c>
      <c r="K57" s="309">
        <f>I57/$I$62</f>
        <v>0.36191213277083056</v>
      </c>
    </row>
    <row r="58" spans="1:11" ht="11.15" customHeight="1">
      <c r="A58" s="423"/>
      <c r="B58" s="423"/>
      <c r="C58" s="154" t="s">
        <v>5</v>
      </c>
      <c r="D58" s="313">
        <f>D52</f>
        <v>798</v>
      </c>
      <c r="E58" s="129">
        <f t="shared" ref="E58:F58" si="22">E40+E46+E52</f>
        <v>32868.296000000002</v>
      </c>
      <c r="F58" s="129">
        <f t="shared" si="22"/>
        <v>358662.45347000001</v>
      </c>
      <c r="G58" s="307">
        <f t="shared" ref="G58:G61" si="23">E58/$E$62</f>
        <v>0.10513999429866658</v>
      </c>
      <c r="H58" s="307">
        <f t="shared" ref="H58:H61" si="24">(E58-I58)/I58</f>
        <v>0.13132932752460147</v>
      </c>
      <c r="I58" s="313">
        <f t="shared" ref="I58:J59" si="25">I40+I46+I52</f>
        <v>29052.809999999987</v>
      </c>
      <c r="J58" s="129">
        <f t="shared" si="25"/>
        <v>317507.18046000018</v>
      </c>
      <c r="K58" s="307">
        <f t="shared" ref="K58:K61" si="26">I58/$I$62</f>
        <v>0.10570854547677727</v>
      </c>
    </row>
    <row r="59" spans="1:11" ht="11.15" customHeight="1">
      <c r="A59" s="423"/>
      <c r="B59" s="423"/>
      <c r="C59" s="154" t="s">
        <v>6</v>
      </c>
      <c r="D59" s="313">
        <f>D53</f>
        <v>23590</v>
      </c>
      <c r="E59" s="129">
        <f>E41+E47+E53</f>
        <v>48410.841</v>
      </c>
      <c r="F59" s="129">
        <f t="shared" ref="F59" si="27">F41+F47+F53</f>
        <v>528039.42761999997</v>
      </c>
      <c r="G59" s="307">
        <f t="shared" si="23"/>
        <v>0.15485790765464855</v>
      </c>
      <c r="H59" s="307">
        <f t="shared" si="24"/>
        <v>0.16831981491007886</v>
      </c>
      <c r="I59" s="313">
        <f>I41+I47+I53</f>
        <v>41436.292000000016</v>
      </c>
      <c r="J59" s="129">
        <f t="shared" si="25"/>
        <v>452686.52551999997</v>
      </c>
      <c r="K59" s="307">
        <f t="shared" si="26"/>
        <v>0.15076580052914076</v>
      </c>
    </row>
    <row r="60" spans="1:11" ht="11.15" customHeight="1">
      <c r="A60" s="423"/>
      <c r="B60" s="423"/>
      <c r="C60" s="154" t="s">
        <v>7</v>
      </c>
      <c r="D60" s="313">
        <f>D54</f>
        <v>345859</v>
      </c>
      <c r="E60" s="129">
        <f t="shared" ref="E60:F60" si="28">E42+E48+E54</f>
        <v>115964.79999999999</v>
      </c>
      <c r="F60" s="129">
        <f t="shared" si="28"/>
        <v>1265023</v>
      </c>
      <c r="G60" s="307">
        <f t="shared" si="23"/>
        <v>0.3709513389695045</v>
      </c>
      <c r="H60" s="307">
        <f t="shared" si="24"/>
        <v>0.14246758389801734</v>
      </c>
      <c r="I60" s="313">
        <f t="shared" ref="I60:J61" si="29">I42+I48+I54</f>
        <v>101503.799</v>
      </c>
      <c r="J60" s="129">
        <f t="shared" si="29"/>
        <v>1108862.9989999998</v>
      </c>
      <c r="K60" s="307">
        <f t="shared" si="26"/>
        <v>0.36932121032895487</v>
      </c>
    </row>
    <row r="61" spans="1:11" ht="11.15" customHeight="1">
      <c r="A61" s="423"/>
      <c r="B61" s="423"/>
      <c r="C61" s="154" t="s">
        <v>92</v>
      </c>
      <c r="D61" s="313">
        <f>D55</f>
        <v>30</v>
      </c>
      <c r="E61" s="129">
        <f>E43+E49+E55</f>
        <v>3300.5479999999998</v>
      </c>
      <c r="F61" s="129">
        <f t="shared" ref="F61" si="30">F43+F49+F55</f>
        <v>36035.117859999998</v>
      </c>
      <c r="G61" s="307">
        <f t="shared" si="23"/>
        <v>1.0557882218855378E-2</v>
      </c>
      <c r="H61" s="307">
        <f t="shared" si="24"/>
        <v>-2.3045201225193972E-2</v>
      </c>
      <c r="I61" s="313">
        <f>I43+I49+I55</f>
        <v>3378.404</v>
      </c>
      <c r="J61" s="129">
        <f t="shared" si="29"/>
        <v>36948.680630000003</v>
      </c>
      <c r="K61" s="307">
        <f t="shared" si="26"/>
        <v>1.2292310894296504E-2</v>
      </c>
    </row>
    <row r="62" spans="1:11" ht="11.15" customHeight="1">
      <c r="A62" s="424"/>
      <c r="B62" s="424"/>
      <c r="C62" s="318" t="s">
        <v>0</v>
      </c>
      <c r="D62" s="321">
        <f>SUM(D57:D61)</f>
        <v>370452</v>
      </c>
      <c r="E62" s="319">
        <f>SUM(E57:E61)</f>
        <v>312614.58799999999</v>
      </c>
      <c r="F62" s="319">
        <f>SUM(F57:F61)</f>
        <v>3410933.3431899999</v>
      </c>
      <c r="G62" s="320">
        <f>SUM(G57:G61)</f>
        <v>1</v>
      </c>
      <c r="H62" s="320">
        <f>(E62-I62)/I62</f>
        <v>0.13744706251484812</v>
      </c>
      <c r="I62" s="321">
        <f>SUM(I57:I61)</f>
        <v>274838.80200000003</v>
      </c>
      <c r="J62" s="319">
        <f>SUM(J57:J61)</f>
        <v>3003271.6660699998</v>
      </c>
      <c r="K62" s="320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D34:D35"/>
    <mergeCell ref="I34:K35"/>
    <mergeCell ref="H36:H38"/>
    <mergeCell ref="G36:G38"/>
    <mergeCell ref="K36:K38"/>
    <mergeCell ref="A45:B50"/>
    <mergeCell ref="E36:F37"/>
    <mergeCell ref="I36:J37"/>
    <mergeCell ref="A51:B56"/>
    <mergeCell ref="A57:B62"/>
    <mergeCell ref="A39:B44"/>
    <mergeCell ref="A38:B38"/>
    <mergeCell ref="A9:B14"/>
    <mergeCell ref="A15:B20"/>
    <mergeCell ref="A21:B26"/>
    <mergeCell ref="A27:B32"/>
    <mergeCell ref="A34:C34"/>
    <mergeCell ref="A2:K2"/>
    <mergeCell ref="A8:B8"/>
    <mergeCell ref="H6:H8"/>
    <mergeCell ref="A3:C3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4"/>
  <dimension ref="A1:T120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37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50</v>
      </c>
      <c r="E9" s="308">
        <v>8979.6980000000003</v>
      </c>
      <c r="F9" s="308">
        <v>98332.168430000005</v>
      </c>
      <c r="G9" s="309">
        <f>E9/$E$14</f>
        <v>0.56253902824065949</v>
      </c>
      <c r="H9" s="309">
        <f>(E9-I9)/I9</f>
        <v>0.23141305972554194</v>
      </c>
      <c r="I9" s="312">
        <v>7292.1900000000005</v>
      </c>
      <c r="J9" s="308">
        <v>80015.964910000024</v>
      </c>
      <c r="K9" s="309">
        <f>I9/$I$14</f>
        <v>0.59754416729489657</v>
      </c>
    </row>
    <row r="10" spans="1:16" ht="11.15" customHeight="1">
      <c r="A10" s="423"/>
      <c r="B10" s="423"/>
      <c r="C10" s="154" t="s">
        <v>5</v>
      </c>
      <c r="D10" s="313">
        <v>160</v>
      </c>
      <c r="E10" s="129">
        <v>1444.0530000000001</v>
      </c>
      <c r="F10" s="129">
        <v>15812.771699999999</v>
      </c>
      <c r="G10" s="307">
        <f>E10/$E$14</f>
        <v>9.0463640464078982E-2</v>
      </c>
      <c r="H10" s="307">
        <f>(E10-I10)/I10</f>
        <v>0.23412679760123292</v>
      </c>
      <c r="I10" s="313">
        <v>1170.1009999999999</v>
      </c>
      <c r="J10" s="129">
        <v>12839.046509999998</v>
      </c>
      <c r="K10" s="307">
        <f>I10/$I$14</f>
        <v>9.5881625094234466E-2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5760</v>
      </c>
      <c r="E11" s="129">
        <v>2321.8780000000002</v>
      </c>
      <c r="F11" s="129">
        <v>25425.524669999999</v>
      </c>
      <c r="G11" s="307">
        <f>E11/$E$14</f>
        <v>0.14545555917508207</v>
      </c>
      <c r="H11" s="307">
        <f t="shared" ref="H11:H13" si="0">(E11-I11)/I11</f>
        <v>0.46365230064569263</v>
      </c>
      <c r="I11" s="313">
        <v>1586.3589999999999</v>
      </c>
      <c r="J11" s="129">
        <v>17407.313130000002</v>
      </c>
      <c r="K11" s="307">
        <f>I11/$I$14</f>
        <v>0.12999106820938081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75524</v>
      </c>
      <c r="E12" s="129">
        <v>2851.1</v>
      </c>
      <c r="F12" s="129">
        <v>31220.799999999999</v>
      </c>
      <c r="G12" s="307">
        <f>E12/$E$14</f>
        <v>0.1786090159621119</v>
      </c>
      <c r="H12" s="307">
        <f t="shared" si="0"/>
        <v>0.449392506735804</v>
      </c>
      <c r="I12" s="313">
        <v>1967.1</v>
      </c>
      <c r="J12" s="129">
        <v>21585.1</v>
      </c>
      <c r="K12" s="307">
        <f>I12/$I$14</f>
        <v>0.16119014061424494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11</v>
      </c>
      <c r="E13" s="129">
        <v>366.07100000000003</v>
      </c>
      <c r="F13" s="129">
        <v>4008.6592999999998</v>
      </c>
      <c r="G13" s="307">
        <f>E13/$E$14</f>
        <v>2.2932756158067506E-2</v>
      </c>
      <c r="H13" s="307">
        <f t="shared" si="0"/>
        <v>0.9487410167686986</v>
      </c>
      <c r="I13" s="313">
        <v>187.85</v>
      </c>
      <c r="J13" s="129">
        <v>2061.2318799999998</v>
      </c>
      <c r="K13" s="307">
        <f>I13/$I$14</f>
        <v>1.5392998787243106E-2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81505</v>
      </c>
      <c r="E14" s="319">
        <v>15962.800000000001</v>
      </c>
      <c r="F14" s="319">
        <v>174799.9241</v>
      </c>
      <c r="G14" s="320">
        <f>SUM(G9:G13)</f>
        <v>0.99999999999999989</v>
      </c>
      <c r="H14" s="320">
        <f>(E14-I14)/I14</f>
        <v>0.30804025041790933</v>
      </c>
      <c r="I14" s="321">
        <v>12203.600000000002</v>
      </c>
      <c r="J14" s="319">
        <v>133908.65643000003</v>
      </c>
      <c r="K14" s="320">
        <f>SUM(K9:K13)</f>
        <v>0.99999999999999989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50</v>
      </c>
      <c r="E15" s="308">
        <v>13968.148999999999</v>
      </c>
      <c r="F15" s="308">
        <v>152462.6624</v>
      </c>
      <c r="G15" s="309">
        <f>E15/$E$20</f>
        <v>0.52976879752716521</v>
      </c>
      <c r="H15" s="309">
        <f>(E15-I15)/I15</f>
        <v>0.14760454074535986</v>
      </c>
      <c r="I15" s="312">
        <v>12171.57</v>
      </c>
      <c r="J15" s="308">
        <v>133042.06815000004</v>
      </c>
      <c r="K15" s="309">
        <f>I15/$I$20</f>
        <v>0.5345253570362043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160</v>
      </c>
      <c r="E16" s="129">
        <v>2163.5149999999999</v>
      </c>
      <c r="F16" s="129">
        <v>23614.95289</v>
      </c>
      <c r="G16" s="307">
        <f>E16/$E$20</f>
        <v>8.2055449149488938E-2</v>
      </c>
      <c r="H16" s="307">
        <f>(E16-I16)/I16</f>
        <v>0.16305067124250136</v>
      </c>
      <c r="I16" s="313">
        <v>1860.2070000000001</v>
      </c>
      <c r="J16" s="129">
        <v>20333.531370000008</v>
      </c>
      <c r="K16" s="307">
        <f>I16/$I$20</f>
        <v>8.1692650236267511E-2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5759</v>
      </c>
      <c r="E17" s="129">
        <v>4350.558</v>
      </c>
      <c r="F17" s="129">
        <v>47486.964039999999</v>
      </c>
      <c r="G17" s="307">
        <f>E17/$E$20</f>
        <v>0.16500324275121842</v>
      </c>
      <c r="H17" s="307">
        <f t="shared" ref="H17:H20" si="1">(E17-I17)/I17</f>
        <v>0.16761437060372408</v>
      </c>
      <c r="I17" s="313">
        <v>3726.0230000000001</v>
      </c>
      <c r="J17" s="129">
        <v>40727.934359999999</v>
      </c>
      <c r="K17" s="307">
        <f>I17/$I$20</f>
        <v>0.1636316247123509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75483</v>
      </c>
      <c r="E18" s="129">
        <v>5528.3</v>
      </c>
      <c r="F18" s="129">
        <v>60341.3</v>
      </c>
      <c r="G18" s="307">
        <f>E18/$E$20</f>
        <v>0.20967136328295377</v>
      </c>
      <c r="H18" s="307">
        <f t="shared" si="1"/>
        <v>0.14754540736896735</v>
      </c>
      <c r="I18" s="313">
        <v>4817.5</v>
      </c>
      <c r="J18" s="129">
        <v>52658.5</v>
      </c>
      <c r="K18" s="307">
        <f>I18/$I$20</f>
        <v>0.2115648110738314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11</v>
      </c>
      <c r="E19" s="129">
        <v>355.97800000000001</v>
      </c>
      <c r="F19" s="129">
        <v>3885.5119399999999</v>
      </c>
      <c r="G19" s="307">
        <f>E19/$E$20</f>
        <v>1.3501147289173765E-2</v>
      </c>
      <c r="H19" s="307">
        <f t="shared" si="1"/>
        <v>0.82085933503836317</v>
      </c>
      <c r="I19" s="313">
        <v>195.5</v>
      </c>
      <c r="J19" s="129">
        <v>2136.92038</v>
      </c>
      <c r="K19" s="307">
        <f>I19/$I$20</f>
        <v>8.5855569413459346E-3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81463</v>
      </c>
      <c r="E20" s="319">
        <v>26366.499999999996</v>
      </c>
      <c r="F20" s="319">
        <v>287791.39126999996</v>
      </c>
      <c r="G20" s="320">
        <f>SUM(G15:G19)</f>
        <v>1.0000000000000002</v>
      </c>
      <c r="H20" s="320">
        <f t="shared" si="1"/>
        <v>0.15790837388234041</v>
      </c>
      <c r="I20" s="321">
        <v>22770.799999999999</v>
      </c>
      <c r="J20" s="319">
        <v>248898.95426000006</v>
      </c>
      <c r="K20" s="320">
        <f>SUM(K15:K19)</f>
        <v>1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50</v>
      </c>
      <c r="E21" s="308">
        <v>13775.055</v>
      </c>
      <c r="F21" s="308">
        <v>149962.47805999999</v>
      </c>
      <c r="G21" s="309">
        <f>E21/$E$26</f>
        <v>0.47784590355009471</v>
      </c>
      <c r="H21" s="309">
        <f>(E21-I21)/I21</f>
        <v>0.48926420479393051</v>
      </c>
      <c r="I21" s="312">
        <v>9249.5709999999999</v>
      </c>
      <c r="J21" s="308">
        <v>100870.50845000001</v>
      </c>
      <c r="K21" s="309">
        <f>I21/$I$26</f>
        <v>0.39747200378153064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160</v>
      </c>
      <c r="E22" s="129">
        <v>2477.7820000000002</v>
      </c>
      <c r="F22" s="129">
        <v>26974.640609999999</v>
      </c>
      <c r="G22" s="307">
        <f>E22/$E$26</f>
        <v>8.5952323137015479E-2</v>
      </c>
      <c r="H22" s="307">
        <f t="shared" ref="H22:H26" si="2">(E22-I22)/I22</f>
        <v>0.14090862626751915</v>
      </c>
      <c r="I22" s="313">
        <v>2171.7620000000002</v>
      </c>
      <c r="J22" s="129">
        <v>23684.438059999993</v>
      </c>
      <c r="K22" s="307">
        <f>I22/$I$26</f>
        <v>9.3324824889347263E-2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5762</v>
      </c>
      <c r="E23" s="129">
        <v>5253.9660000000003</v>
      </c>
      <c r="F23" s="129">
        <v>57197.758139999998</v>
      </c>
      <c r="G23" s="307">
        <f>E23/$E$26</f>
        <v>0.18225597868694368</v>
      </c>
      <c r="H23" s="307">
        <f t="shared" si="2"/>
        <v>4.9993734770346354E-2</v>
      </c>
      <c r="I23" s="313">
        <v>5003.806999999998</v>
      </c>
      <c r="J23" s="129">
        <v>54568.234860000033</v>
      </c>
      <c r="K23" s="307">
        <f>I23/$I$26</f>
        <v>0.21502329079111332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75458</v>
      </c>
      <c r="E24" s="129">
        <v>6964</v>
      </c>
      <c r="F24" s="129">
        <v>75813.3</v>
      </c>
      <c r="G24" s="307">
        <f>E24/$E$26</f>
        <v>0.24157572309677597</v>
      </c>
      <c r="H24" s="307">
        <f t="shared" si="2"/>
        <v>4.7958707658044004E-2</v>
      </c>
      <c r="I24" s="313">
        <v>6645.3</v>
      </c>
      <c r="J24" s="129">
        <v>72470.100000000006</v>
      </c>
      <c r="K24" s="307">
        <f>I24/$I$26</f>
        <v>0.28556142838726312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11</v>
      </c>
      <c r="E25" s="129">
        <v>356.59699999999998</v>
      </c>
      <c r="F25" s="129">
        <v>3882.0978399999999</v>
      </c>
      <c r="G25" s="307">
        <f>E25/$E$26</f>
        <v>1.2370071529170162E-2</v>
      </c>
      <c r="H25" s="307">
        <f t="shared" si="2"/>
        <v>0.77800658157159941</v>
      </c>
      <c r="I25" s="313">
        <v>200.56</v>
      </c>
      <c r="J25" s="129">
        <v>2187.2048799999998</v>
      </c>
      <c r="K25" s="307">
        <f>I25/$I$26</f>
        <v>8.618452150745564E-3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81441</v>
      </c>
      <c r="E26" s="319">
        <v>28827.4</v>
      </c>
      <c r="F26" s="319">
        <v>313830.27464999998</v>
      </c>
      <c r="G26" s="320">
        <f>SUM(G21:G25)</f>
        <v>1</v>
      </c>
      <c r="H26" s="320">
        <f t="shared" si="2"/>
        <v>0.23876928365777153</v>
      </c>
      <c r="I26" s="321">
        <v>23271</v>
      </c>
      <c r="J26" s="319">
        <v>253780.48625000005</v>
      </c>
      <c r="K26" s="320">
        <f>SUM(K21:K25)</f>
        <v>1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50</v>
      </c>
      <c r="E27" s="308">
        <f>E9+E15+E21</f>
        <v>36722.902000000002</v>
      </c>
      <c r="F27" s="308">
        <f>F9+F15+F21</f>
        <v>400757.30888999999</v>
      </c>
      <c r="G27" s="309">
        <f>E27/$E$32</f>
        <v>0.51608495053874059</v>
      </c>
      <c r="H27" s="309">
        <f>(E27-I27)/I27</f>
        <v>0.2789495583079511</v>
      </c>
      <c r="I27" s="312">
        <f>I9+I15+I21</f>
        <v>28713.331000000002</v>
      </c>
      <c r="J27" s="308">
        <f>J9+J15+J21</f>
        <v>313928.54151000007</v>
      </c>
      <c r="K27" s="309">
        <f>I27/$I$32</f>
        <v>0.49297165098016327</v>
      </c>
    </row>
    <row r="28" spans="1:20" ht="11.15" customHeight="1">
      <c r="A28" s="423"/>
      <c r="B28" s="423"/>
      <c r="C28" s="154" t="s">
        <v>5</v>
      </c>
      <c r="D28" s="313">
        <f>D22</f>
        <v>160</v>
      </c>
      <c r="E28" s="129">
        <f t="shared" ref="E28:F31" si="3">E10+E16+E22</f>
        <v>6085.35</v>
      </c>
      <c r="F28" s="129">
        <f t="shared" si="3"/>
        <v>66402.3652</v>
      </c>
      <c r="G28" s="307">
        <f>E28/$E$32</f>
        <v>8.552040777607732E-2</v>
      </c>
      <c r="H28" s="307">
        <f t="shared" ref="H28:H31" si="4">(E28-I28)/I28</f>
        <v>0.16979394740939677</v>
      </c>
      <c r="I28" s="313">
        <f t="shared" ref="I28:J28" si="5">I10+I16+I22</f>
        <v>5202.07</v>
      </c>
      <c r="J28" s="129">
        <f t="shared" si="5"/>
        <v>56857.015939999997</v>
      </c>
      <c r="K28" s="307">
        <f>I28/$I$32</f>
        <v>8.9312975788645957E-2</v>
      </c>
    </row>
    <row r="29" spans="1:20" ht="11.15" customHeight="1">
      <c r="A29" s="423"/>
      <c r="B29" s="423"/>
      <c r="C29" s="154" t="s">
        <v>6</v>
      </c>
      <c r="D29" s="313">
        <f>D23</f>
        <v>5762</v>
      </c>
      <c r="E29" s="129">
        <f t="shared" si="3"/>
        <v>11926.402</v>
      </c>
      <c r="F29" s="129">
        <f t="shared" si="3"/>
        <v>130110.24685</v>
      </c>
      <c r="G29" s="307">
        <f>E29/$E$32</f>
        <v>0.16760757595560222</v>
      </c>
      <c r="H29" s="307">
        <f t="shared" si="4"/>
        <v>0.15608603138232557</v>
      </c>
      <c r="I29" s="313">
        <f t="shared" ref="I29:J29" si="6">I11+I17+I23</f>
        <v>10316.188999999998</v>
      </c>
      <c r="J29" s="129">
        <f t="shared" si="6"/>
        <v>112703.48235000003</v>
      </c>
      <c r="K29" s="307">
        <f>I29/$I$32</f>
        <v>0.17711594392003485</v>
      </c>
    </row>
    <row r="30" spans="1:20" ht="11.15" customHeight="1">
      <c r="A30" s="423"/>
      <c r="B30" s="423"/>
      <c r="C30" s="154" t="s">
        <v>7</v>
      </c>
      <c r="D30" s="313">
        <f>D24</f>
        <v>75458</v>
      </c>
      <c r="E30" s="129">
        <f t="shared" si="3"/>
        <v>15343.4</v>
      </c>
      <c r="F30" s="129">
        <f t="shared" si="3"/>
        <v>167375.40000000002</v>
      </c>
      <c r="G30" s="307">
        <f>E30/$E$32</f>
        <v>0.21562832452882161</v>
      </c>
      <c r="H30" s="307">
        <f t="shared" si="4"/>
        <v>0.14248058436771666</v>
      </c>
      <c r="I30" s="313">
        <f t="shared" ref="I30:J30" si="7">I12+I18+I24</f>
        <v>13429.900000000001</v>
      </c>
      <c r="J30" s="129">
        <f t="shared" si="7"/>
        <v>146713.70000000001</v>
      </c>
      <c r="K30" s="307">
        <f>I30/$I$32</f>
        <v>0.23057443162893551</v>
      </c>
    </row>
    <row r="31" spans="1:20" ht="11.15" customHeight="1">
      <c r="A31" s="423"/>
      <c r="B31" s="423"/>
      <c r="C31" s="154" t="s">
        <v>92</v>
      </c>
      <c r="D31" s="313">
        <f>D25</f>
        <v>11</v>
      </c>
      <c r="E31" s="129">
        <f>E13+E19+E25</f>
        <v>1078.646</v>
      </c>
      <c r="F31" s="129">
        <f t="shared" si="3"/>
        <v>11776.26908</v>
      </c>
      <c r="G31" s="307">
        <f>E31/$E$32</f>
        <v>1.5158741200758327E-2</v>
      </c>
      <c r="H31" s="307">
        <f t="shared" si="4"/>
        <v>0.84728125909814833</v>
      </c>
      <c r="I31" s="313">
        <f>I13+I19+I25</f>
        <v>583.91000000000008</v>
      </c>
      <c r="J31" s="129">
        <f t="shared" ref="J31" si="8">J13+J19+J25</f>
        <v>6385.3571400000001</v>
      </c>
      <c r="K31" s="307">
        <f>I31/$I$32</f>
        <v>1.0024997682220399E-2</v>
      </c>
    </row>
    <row r="32" spans="1:20" ht="11.15" customHeight="1">
      <c r="A32" s="424"/>
      <c r="B32" s="424"/>
      <c r="C32" s="318" t="s">
        <v>0</v>
      </c>
      <c r="D32" s="321">
        <f>SUM(D27:D31)</f>
        <v>81441</v>
      </c>
      <c r="E32" s="319">
        <f>SUM(E27:E31)</f>
        <v>71156.7</v>
      </c>
      <c r="F32" s="319">
        <f>SUM(F27:F31)</f>
        <v>776421.59002</v>
      </c>
      <c r="G32" s="320">
        <f>SUM(G27:G31)</f>
        <v>1</v>
      </c>
      <c r="H32" s="320">
        <f>(E32-I32)/I32</f>
        <v>0.22167072421169731</v>
      </c>
      <c r="I32" s="321">
        <f>SUM(I27:I31)</f>
        <v>58245.4</v>
      </c>
      <c r="J32" s="319">
        <f>SUM(J27:J31)</f>
        <v>636588.09694000008</v>
      </c>
      <c r="K32" s="320">
        <f>SUM(K27:K31)</f>
        <v>1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38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75</v>
      </c>
      <c r="E39" s="308">
        <v>10535.091</v>
      </c>
      <c r="F39" s="308">
        <v>115364.76908</v>
      </c>
      <c r="G39" s="309">
        <f>E39/$E$44</f>
        <v>0.4632153064185654</v>
      </c>
      <c r="H39" s="309">
        <f>(E39-I39)/I39</f>
        <v>4.8644438450030213E-2</v>
      </c>
      <c r="I39" s="312">
        <v>10046.390000000001</v>
      </c>
      <c r="J39" s="308">
        <v>110236.62965999996</v>
      </c>
      <c r="K39" s="309">
        <f>I39/$I$44</f>
        <v>0.53374932925306684</v>
      </c>
    </row>
    <row r="40" spans="1:11" ht="11.15" customHeight="1">
      <c r="A40" s="423"/>
      <c r="B40" s="423"/>
      <c r="C40" s="154" t="s">
        <v>5</v>
      </c>
      <c r="D40" s="313">
        <v>241</v>
      </c>
      <c r="E40" s="129">
        <v>2402.5</v>
      </c>
      <c r="F40" s="129">
        <v>26309.043399999999</v>
      </c>
      <c r="G40" s="307">
        <f t="shared" ref="G40" si="9">E40/$E$44</f>
        <v>0.10563504137464055</v>
      </c>
      <c r="H40" s="307">
        <f>(E40-I40)/I40</f>
        <v>0.19788752970412066</v>
      </c>
      <c r="I40" s="313">
        <v>2005.6139999999998</v>
      </c>
      <c r="J40" s="129">
        <v>22007.149780000007</v>
      </c>
      <c r="K40" s="307">
        <f t="shared" ref="K40:K43" si="10">I40/$I$44</f>
        <v>0.10655520313670484</v>
      </c>
    </row>
    <row r="41" spans="1:11" ht="11.15" customHeight="1">
      <c r="A41" s="423"/>
      <c r="B41" s="423"/>
      <c r="C41" s="154" t="s">
        <v>6</v>
      </c>
      <c r="D41" s="313">
        <v>9719</v>
      </c>
      <c r="E41" s="129">
        <v>3717.1689999999999</v>
      </c>
      <c r="F41" s="129">
        <v>40704.53559</v>
      </c>
      <c r="G41" s="307">
        <f>E41/$E$44</f>
        <v>0.16343945935963838</v>
      </c>
      <c r="H41" s="307">
        <f t="shared" ref="H41:H43" si="11">(E41-I41)/I41</f>
        <v>0.47634011391569009</v>
      </c>
      <c r="I41" s="313">
        <v>2517.8269999999998</v>
      </c>
      <c r="J41" s="129">
        <v>27627.01542</v>
      </c>
      <c r="K41" s="307">
        <f t="shared" si="10"/>
        <v>0.1337682961168401</v>
      </c>
    </row>
    <row r="42" spans="1:11" ht="11.15" customHeight="1">
      <c r="A42" s="423"/>
      <c r="B42" s="423"/>
      <c r="C42" s="154" t="s">
        <v>7</v>
      </c>
      <c r="D42" s="313">
        <v>104268</v>
      </c>
      <c r="E42" s="129">
        <v>5965.2</v>
      </c>
      <c r="F42" s="129">
        <v>65321.599999999999</v>
      </c>
      <c r="G42" s="307">
        <f>E42/$E$44</f>
        <v>0.26228268420728651</v>
      </c>
      <c r="H42" s="307">
        <f t="shared" si="11"/>
        <v>0.44934156178628687</v>
      </c>
      <c r="I42" s="313">
        <v>4115.8</v>
      </c>
      <c r="J42" s="129">
        <v>45161.3</v>
      </c>
      <c r="K42" s="307">
        <f t="shared" si="10"/>
        <v>0.21866615663335509</v>
      </c>
    </row>
    <row r="43" spans="1:11" ht="11.15" customHeight="1">
      <c r="A43" s="423"/>
      <c r="B43" s="423"/>
      <c r="C43" s="154" t="s">
        <v>92</v>
      </c>
      <c r="D43" s="313">
        <v>15</v>
      </c>
      <c r="E43" s="129">
        <v>123.44</v>
      </c>
      <c r="F43" s="129">
        <v>1351.7368799999999</v>
      </c>
      <c r="G43" s="307">
        <f>E43/$E$44</f>
        <v>5.4275086398691483E-3</v>
      </c>
      <c r="H43" s="307">
        <f t="shared" si="11"/>
        <v>-9.6795908362540248E-2</v>
      </c>
      <c r="I43" s="313">
        <v>136.66900000000001</v>
      </c>
      <c r="J43" s="129">
        <v>1499.6471099999999</v>
      </c>
      <c r="K43" s="307">
        <f t="shared" si="10"/>
        <v>7.2610148600330453E-3</v>
      </c>
    </row>
    <row r="44" spans="1:11" ht="11.15" customHeight="1">
      <c r="A44" s="424"/>
      <c r="B44" s="424"/>
      <c r="C44" s="318" t="s">
        <v>0</v>
      </c>
      <c r="D44" s="321">
        <v>114318</v>
      </c>
      <c r="E44" s="319">
        <v>22743.4</v>
      </c>
      <c r="F44" s="319">
        <v>249051.68495000002</v>
      </c>
      <c r="G44" s="320">
        <f>SUM(G39:G43)</f>
        <v>1</v>
      </c>
      <c r="H44" s="320">
        <f>(E44-I44)/I44</f>
        <v>0.20832204353346817</v>
      </c>
      <c r="I44" s="321">
        <v>18822.300000000003</v>
      </c>
      <c r="J44" s="319">
        <v>206531.74196999994</v>
      </c>
      <c r="K44" s="320">
        <f>SUM(K39:K43)</f>
        <v>1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75</v>
      </c>
      <c r="E45" s="308">
        <v>13272.593000000001</v>
      </c>
      <c r="F45" s="308">
        <v>144871.39666999999</v>
      </c>
      <c r="G45" s="309">
        <f>E45/$E$50</f>
        <v>0.37530731296268022</v>
      </c>
      <c r="H45" s="309">
        <f>(E45-I45)/I45</f>
        <v>8.6781505102207945E-2</v>
      </c>
      <c r="I45" s="312">
        <v>12212.752</v>
      </c>
      <c r="J45" s="308">
        <v>133492.28450000001</v>
      </c>
      <c r="K45" s="309">
        <f>I45/$I$50</f>
        <v>0.3887950388070725</v>
      </c>
    </row>
    <row r="46" spans="1:11" ht="11.15" customHeight="1">
      <c r="A46" s="423"/>
      <c r="B46" s="423"/>
      <c r="C46" s="154" t="s">
        <v>5</v>
      </c>
      <c r="D46" s="313">
        <v>241</v>
      </c>
      <c r="E46" s="129">
        <v>3483.7910000000002</v>
      </c>
      <c r="F46" s="129">
        <v>38025.387439999999</v>
      </c>
      <c r="G46" s="307">
        <f t="shared" ref="G46:G49" si="12">E46/$E$50</f>
        <v>9.851068582707001E-2</v>
      </c>
      <c r="H46" s="307">
        <f>(E46-I46)/I46</f>
        <v>0.13672110029718351</v>
      </c>
      <c r="I46" s="313">
        <v>3064.7720000000004</v>
      </c>
      <c r="J46" s="129">
        <v>33500.029670000004</v>
      </c>
      <c r="K46" s="307">
        <f t="shared" ref="K46:K49" si="13">I46/$I$50</f>
        <v>9.7567538313627369E-2</v>
      </c>
    </row>
    <row r="47" spans="1:11" ht="11.15" customHeight="1">
      <c r="A47" s="423"/>
      <c r="B47" s="423"/>
      <c r="C47" s="154" t="s">
        <v>6</v>
      </c>
      <c r="D47" s="313">
        <v>9717</v>
      </c>
      <c r="E47" s="129">
        <v>6914.1239999999998</v>
      </c>
      <c r="F47" s="129">
        <v>75467.613580000005</v>
      </c>
      <c r="G47" s="307">
        <f t="shared" si="12"/>
        <v>0.19550974703517077</v>
      </c>
      <c r="H47" s="307">
        <f t="shared" ref="H47:H49" si="14">(E47-I47)/I47</f>
        <v>0.16932163649327492</v>
      </c>
      <c r="I47" s="313">
        <v>5912.9360000000006</v>
      </c>
      <c r="J47" s="129">
        <v>64632.011500000001</v>
      </c>
      <c r="K47" s="307">
        <f t="shared" si="13"/>
        <v>0.18823932407566585</v>
      </c>
    </row>
    <row r="48" spans="1:11" ht="11.15" customHeight="1">
      <c r="A48" s="423"/>
      <c r="B48" s="423"/>
      <c r="C48" s="154" t="s">
        <v>7</v>
      </c>
      <c r="D48" s="313">
        <v>104212</v>
      </c>
      <c r="E48" s="129">
        <v>11566.5</v>
      </c>
      <c r="F48" s="129">
        <v>126248.9</v>
      </c>
      <c r="G48" s="307">
        <f t="shared" si="12"/>
        <v>0.3270643524880813</v>
      </c>
      <c r="H48" s="307">
        <f t="shared" si="14"/>
        <v>0.14752715908527209</v>
      </c>
      <c r="I48" s="313">
        <v>10079.5</v>
      </c>
      <c r="J48" s="129">
        <v>110174.6</v>
      </c>
      <c r="K48" s="307">
        <f t="shared" si="13"/>
        <v>0.32088259825925286</v>
      </c>
    </row>
    <row r="49" spans="1:11" ht="11.15" customHeight="1">
      <c r="A49" s="423"/>
      <c r="B49" s="423"/>
      <c r="C49" s="154" t="s">
        <v>92</v>
      </c>
      <c r="D49" s="313">
        <v>15</v>
      </c>
      <c r="E49" s="129">
        <v>127.592</v>
      </c>
      <c r="F49" s="129">
        <v>1392.6684299999999</v>
      </c>
      <c r="G49" s="307">
        <f t="shared" si="12"/>
        <v>3.6079016869977323E-3</v>
      </c>
      <c r="H49" s="307">
        <f t="shared" si="14"/>
        <v>-0.10045121263395378</v>
      </c>
      <c r="I49" s="313">
        <v>141.84</v>
      </c>
      <c r="J49" s="129">
        <v>1550.3910900000001</v>
      </c>
      <c r="K49" s="307">
        <f t="shared" si="13"/>
        <v>4.5155005443814102E-3</v>
      </c>
    </row>
    <row r="50" spans="1:11" ht="11.15" customHeight="1">
      <c r="A50" s="424"/>
      <c r="B50" s="424"/>
      <c r="C50" s="318" t="s">
        <v>0</v>
      </c>
      <c r="D50" s="321">
        <v>114260</v>
      </c>
      <c r="E50" s="319">
        <v>35364.6</v>
      </c>
      <c r="F50" s="319">
        <v>386005.96612</v>
      </c>
      <c r="G50" s="320">
        <f>SUM(G45:G49)</f>
        <v>1</v>
      </c>
      <c r="H50" s="320">
        <f t="shared" ref="H50" si="15">(E50-I50)/I50</f>
        <v>0.12583806085611124</v>
      </c>
      <c r="I50" s="321">
        <v>31411.800000000003</v>
      </c>
      <c r="J50" s="319">
        <v>343349.31676000002</v>
      </c>
      <c r="K50" s="320">
        <f>SUM(K45:K49)</f>
        <v>1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76</v>
      </c>
      <c r="E51" s="308">
        <v>12425.755999999999</v>
      </c>
      <c r="F51" s="308">
        <v>135273.42741999999</v>
      </c>
      <c r="G51" s="309">
        <f>E51/$E$56</f>
        <v>0.31796260424316714</v>
      </c>
      <c r="H51" s="309">
        <f>(E51-I51)/I51</f>
        <v>0.10611408420839365</v>
      </c>
      <c r="I51" s="312">
        <v>11233.701999999999</v>
      </c>
      <c r="J51" s="308">
        <v>122509.24483999998</v>
      </c>
      <c r="K51" s="309">
        <f>I51/$I$56</f>
        <v>0.30824219907585249</v>
      </c>
    </row>
    <row r="52" spans="1:11" ht="11.15" customHeight="1">
      <c r="A52" s="423"/>
      <c r="B52" s="423"/>
      <c r="C52" s="154" t="s">
        <v>5</v>
      </c>
      <c r="D52" s="313">
        <v>238</v>
      </c>
      <c r="E52" s="129">
        <v>3574.8180000000002</v>
      </c>
      <c r="F52" s="129">
        <v>38917.038520000002</v>
      </c>
      <c r="G52" s="307">
        <f t="shared" ref="G52:G55" si="16">E52/$E$56</f>
        <v>9.1475998802435066E-2</v>
      </c>
      <c r="H52" s="307">
        <f t="shared" ref="H52:H55" si="17">(E52-I52)/I52</f>
        <v>0.10061554480780131</v>
      </c>
      <c r="I52" s="313">
        <v>3248.0169999999998</v>
      </c>
      <c r="J52" s="129">
        <v>35421.246209999976</v>
      </c>
      <c r="K52" s="307">
        <f t="shared" ref="K52:K55" si="18">I52/$I$56</f>
        <v>8.9122526368934585E-2</v>
      </c>
    </row>
    <row r="53" spans="1:11" ht="11.15" customHeight="1">
      <c r="A53" s="423"/>
      <c r="B53" s="423"/>
      <c r="C53" s="154" t="s">
        <v>6</v>
      </c>
      <c r="D53" s="313">
        <v>9722</v>
      </c>
      <c r="E53" s="129">
        <v>8366.527</v>
      </c>
      <c r="F53" s="129">
        <v>91081.874339999995</v>
      </c>
      <c r="G53" s="307">
        <f t="shared" si="16"/>
        <v>0.21409101493629623</v>
      </c>
      <c r="H53" s="307">
        <f t="shared" si="17"/>
        <v>5.7673719487605371E-2</v>
      </c>
      <c r="I53" s="313">
        <v>7910.31</v>
      </c>
      <c r="J53" s="129">
        <v>86266.239979999969</v>
      </c>
      <c r="K53" s="307">
        <f t="shared" si="18"/>
        <v>0.21705145372128504</v>
      </c>
    </row>
    <row r="54" spans="1:11" ht="11.15" customHeight="1">
      <c r="A54" s="423"/>
      <c r="B54" s="423"/>
      <c r="C54" s="154" t="s">
        <v>7</v>
      </c>
      <c r="D54" s="313">
        <v>104178</v>
      </c>
      <c r="E54" s="129">
        <v>14570.3</v>
      </c>
      <c r="F54" s="129">
        <v>158620.1</v>
      </c>
      <c r="G54" s="307">
        <f t="shared" si="16"/>
        <v>0.37283932926127134</v>
      </c>
      <c r="H54" s="307">
        <f t="shared" si="17"/>
        <v>4.7951609655053289E-2</v>
      </c>
      <c r="I54" s="313">
        <v>13903.6</v>
      </c>
      <c r="J54" s="129">
        <v>151625.49999999985</v>
      </c>
      <c r="K54" s="307">
        <f t="shared" si="18"/>
        <v>0.38150168475815216</v>
      </c>
    </row>
    <row r="55" spans="1:11" ht="11.15" customHeight="1">
      <c r="A55" s="423"/>
      <c r="B55" s="423"/>
      <c r="C55" s="154" t="s">
        <v>92</v>
      </c>
      <c r="D55" s="313">
        <v>15</v>
      </c>
      <c r="E55" s="129">
        <v>141.899</v>
      </c>
      <c r="F55" s="129">
        <v>1544.7893200000001</v>
      </c>
      <c r="G55" s="307">
        <f t="shared" si="16"/>
        <v>3.6310527568303428E-3</v>
      </c>
      <c r="H55" s="307">
        <f t="shared" si="17"/>
        <v>-4.6191798132700503E-2</v>
      </c>
      <c r="I55" s="313">
        <v>148.77099999999999</v>
      </c>
      <c r="J55" s="129">
        <v>1622.4177099999999</v>
      </c>
      <c r="K55" s="307">
        <f t="shared" si="18"/>
        <v>4.0821360757757018E-3</v>
      </c>
    </row>
    <row r="56" spans="1:11" ht="11.15" customHeight="1">
      <c r="A56" s="424"/>
      <c r="B56" s="424"/>
      <c r="C56" s="318" t="s">
        <v>0</v>
      </c>
      <c r="D56" s="321">
        <v>114229</v>
      </c>
      <c r="E56" s="319">
        <v>39079.299999999996</v>
      </c>
      <c r="F56" s="319">
        <v>425437.22959999996</v>
      </c>
      <c r="G56" s="320">
        <f>SUM(G51:G55)</f>
        <v>1.0000000000000002</v>
      </c>
      <c r="H56" s="320">
        <f t="shared" ref="H56" si="19">(E56-I56)/I56</f>
        <v>7.2299173535577313E-2</v>
      </c>
      <c r="I56" s="321">
        <v>36444.400000000001</v>
      </c>
      <c r="J56" s="319">
        <v>397444.6487399998</v>
      </c>
      <c r="K56" s="320">
        <f>SUM(K51:K55)</f>
        <v>0.99999999999999989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76</v>
      </c>
      <c r="E57" s="308">
        <f>E39+E45+E51</f>
        <v>36233.440000000002</v>
      </c>
      <c r="F57" s="308">
        <f>F39+F45+F51</f>
        <v>395509.59317000001</v>
      </c>
      <c r="G57" s="309">
        <f>E57/$E$62</f>
        <v>0.37282072863429688</v>
      </c>
      <c r="H57" s="309">
        <f>(E57-I57)/I57</f>
        <v>8.182631489878868E-2</v>
      </c>
      <c r="I57" s="312">
        <f>I39+I45+I51</f>
        <v>33492.843999999997</v>
      </c>
      <c r="J57" s="308">
        <f>J39+J45+J51</f>
        <v>366238.15899999999</v>
      </c>
      <c r="K57" s="309">
        <f>I57/$I$62</f>
        <v>0.38640313341832172</v>
      </c>
    </row>
    <row r="58" spans="1:11" ht="11.15" customHeight="1">
      <c r="A58" s="423"/>
      <c r="B58" s="423"/>
      <c r="C58" s="154" t="s">
        <v>5</v>
      </c>
      <c r="D58" s="313">
        <f>D52</f>
        <v>238</v>
      </c>
      <c r="E58" s="129">
        <f t="shared" ref="E58:F59" si="20">E40+E46+E52</f>
        <v>9461.1090000000004</v>
      </c>
      <c r="F58" s="129">
        <f t="shared" si="20"/>
        <v>103251.46936</v>
      </c>
      <c r="G58" s="307">
        <f t="shared" ref="G58:G61" si="21">E58/$E$62</f>
        <v>9.7349231844078399E-2</v>
      </c>
      <c r="H58" s="307">
        <f t="shared" ref="H58:H61" si="22">(E58-I58)/I58</f>
        <v>0.1373708390901475</v>
      </c>
      <c r="I58" s="313">
        <f t="shared" ref="I58:J58" si="23">I40+I46+I52</f>
        <v>8318.4030000000002</v>
      </c>
      <c r="J58" s="129">
        <f t="shared" si="23"/>
        <v>90928.425659999979</v>
      </c>
      <c r="K58" s="307">
        <f t="shared" ref="K58:K61" si="24">I58/$I$62</f>
        <v>9.5968469689715452E-2</v>
      </c>
    </row>
    <row r="59" spans="1:11" ht="11.15" customHeight="1">
      <c r="A59" s="423"/>
      <c r="B59" s="423"/>
      <c r="C59" s="154" t="s">
        <v>6</v>
      </c>
      <c r="D59" s="313">
        <f>D53</f>
        <v>9722</v>
      </c>
      <c r="E59" s="129">
        <f>E41+E47+E53</f>
        <v>18997.82</v>
      </c>
      <c r="F59" s="129">
        <f t="shared" si="20"/>
        <v>207254.02351</v>
      </c>
      <c r="G59" s="307">
        <f t="shared" si="21"/>
        <v>0.19547636368126287</v>
      </c>
      <c r="H59" s="307">
        <f t="shared" si="22"/>
        <v>0.16258093945238475</v>
      </c>
      <c r="I59" s="313">
        <f>I41+I47+I53</f>
        <v>16341.073</v>
      </c>
      <c r="J59" s="129">
        <f t="shared" ref="J59" si="25">J41+J47+J53</f>
        <v>178525.26689999999</v>
      </c>
      <c r="K59" s="307">
        <f t="shared" si="24"/>
        <v>0.18852510138038844</v>
      </c>
    </row>
    <row r="60" spans="1:11" ht="11.15" customHeight="1">
      <c r="A60" s="423"/>
      <c r="B60" s="423"/>
      <c r="C60" s="154" t="s">
        <v>7</v>
      </c>
      <c r="D60" s="313">
        <f>D54</f>
        <v>104178</v>
      </c>
      <c r="E60" s="129">
        <f t="shared" ref="E60:F61" si="26">E42+E48+E54</f>
        <v>32102</v>
      </c>
      <c r="F60" s="129">
        <f t="shared" si="26"/>
        <v>350190.6</v>
      </c>
      <c r="G60" s="307">
        <f t="shared" si="21"/>
        <v>0.33031064758461237</v>
      </c>
      <c r="H60" s="307">
        <f t="shared" si="22"/>
        <v>0.14246465164116739</v>
      </c>
      <c r="I60" s="313">
        <f t="shared" ref="I60:J60" si="27">I42+I48+I54</f>
        <v>28098.9</v>
      </c>
      <c r="J60" s="129">
        <f t="shared" si="27"/>
        <v>306961.39999999991</v>
      </c>
      <c r="K60" s="307">
        <f t="shared" si="24"/>
        <v>0.32417381472914275</v>
      </c>
    </row>
    <row r="61" spans="1:11" ht="11.15" customHeight="1">
      <c r="A61" s="423"/>
      <c r="B61" s="423"/>
      <c r="C61" s="154" t="s">
        <v>92</v>
      </c>
      <c r="D61" s="313">
        <f>D55</f>
        <v>15</v>
      </c>
      <c r="E61" s="129">
        <f>E43+E49+E55</f>
        <v>392.93099999999998</v>
      </c>
      <c r="F61" s="129">
        <f t="shared" si="26"/>
        <v>4289.19463</v>
      </c>
      <c r="G61" s="307">
        <f t="shared" si="21"/>
        <v>4.0430282557494647E-3</v>
      </c>
      <c r="H61" s="307">
        <f t="shared" si="22"/>
        <v>-8.0389908256880721E-2</v>
      </c>
      <c r="I61" s="313">
        <f>I43+I49+I55</f>
        <v>427.28</v>
      </c>
      <c r="J61" s="129">
        <f t="shared" ref="J61" si="28">J43+J49+J55</f>
        <v>4672.4559099999997</v>
      </c>
      <c r="K61" s="307">
        <f t="shared" si="24"/>
        <v>4.929480782431629E-3</v>
      </c>
    </row>
    <row r="62" spans="1:11" ht="11.15" customHeight="1">
      <c r="A62" s="424"/>
      <c r="B62" s="424"/>
      <c r="C62" s="318" t="s">
        <v>0</v>
      </c>
      <c r="D62" s="321">
        <f>SUM(D57:D61)</f>
        <v>114229</v>
      </c>
      <c r="E62" s="319">
        <f>SUM(E57:E61)</f>
        <v>97187.3</v>
      </c>
      <c r="F62" s="319">
        <f>SUM(F57:F61)</f>
        <v>1060494.8806700001</v>
      </c>
      <c r="G62" s="320">
        <f>SUM(G57:G61)</f>
        <v>1</v>
      </c>
      <c r="H62" s="320">
        <f>(E62-I62)/I62</f>
        <v>0.1212388308519414</v>
      </c>
      <c r="I62" s="321">
        <f>SUM(I57:I61)</f>
        <v>86678.5</v>
      </c>
      <c r="J62" s="319">
        <f>SUM(J57:J61)</f>
        <v>947325.70746999979</v>
      </c>
      <c r="K62" s="320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5"/>
  <dimension ref="A1:T120"/>
  <sheetViews>
    <sheetView showGridLines="0" topLeftCell="A19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301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39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89</v>
      </c>
      <c r="E9" s="308">
        <v>9042.7039999999997</v>
      </c>
      <c r="F9" s="308">
        <v>99022.626869999993</v>
      </c>
      <c r="G9" s="309">
        <f>E9/$E$14</f>
        <v>0.44378993007049294</v>
      </c>
      <c r="H9" s="309">
        <f>(E9-I9)/I9</f>
        <v>0.12848784417946774</v>
      </c>
      <c r="I9" s="312">
        <v>8013.116</v>
      </c>
      <c r="J9" s="308">
        <v>87925.781409999981</v>
      </c>
      <c r="K9" s="309">
        <f>I9/$I$14</f>
        <v>0.49011982164374007</v>
      </c>
    </row>
    <row r="10" spans="1:16" ht="11.15" customHeight="1">
      <c r="A10" s="423"/>
      <c r="B10" s="423"/>
      <c r="C10" s="154" t="s">
        <v>5</v>
      </c>
      <c r="D10" s="313">
        <v>274</v>
      </c>
      <c r="E10" s="129">
        <v>2384.6469999999999</v>
      </c>
      <c r="F10" s="129">
        <v>26112.639620000002</v>
      </c>
      <c r="G10" s="307">
        <f>E10/$E$14</f>
        <v>0.11703162299383137</v>
      </c>
      <c r="H10" s="307">
        <f>(E10-I10)/I10</f>
        <v>0.10551667259298948</v>
      </c>
      <c r="I10" s="313">
        <v>2157.0430000000001</v>
      </c>
      <c r="J10" s="129">
        <v>23669.002699999994</v>
      </c>
      <c r="K10" s="307">
        <f>I10/$I$14</f>
        <v>0.1319348840623146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8668</v>
      </c>
      <c r="E11" s="129">
        <v>4056.3809999999999</v>
      </c>
      <c r="F11" s="129">
        <v>44414.273739999997</v>
      </c>
      <c r="G11" s="307">
        <f>E11/$E$14</f>
        <v>0.19907552434861037</v>
      </c>
      <c r="H11" s="307">
        <f t="shared" ref="H11:H13" si="0">(E11-I11)/I11</f>
        <v>0.48180141780756364</v>
      </c>
      <c r="I11" s="313">
        <v>2737.4659999999999</v>
      </c>
      <c r="J11" s="129">
        <v>30038.135590000002</v>
      </c>
      <c r="K11" s="307">
        <f>I11/$I$14</f>
        <v>0.16743628167566804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81239</v>
      </c>
      <c r="E12" s="129">
        <v>4662.8999999999996</v>
      </c>
      <c r="F12" s="129">
        <v>51061.1</v>
      </c>
      <c r="G12" s="307">
        <f>E12/$E$14</f>
        <v>0.22884173416775574</v>
      </c>
      <c r="H12" s="307">
        <f t="shared" si="0"/>
        <v>0.44936590824319278</v>
      </c>
      <c r="I12" s="313">
        <v>3217.2</v>
      </c>
      <c r="J12" s="129">
        <v>35302</v>
      </c>
      <c r="K12" s="307">
        <f>I12/$I$14</f>
        <v>0.19677906699369391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9</v>
      </c>
      <c r="E13" s="129">
        <v>229.459</v>
      </c>
      <c r="F13" s="129">
        <v>2512.6939200000002</v>
      </c>
      <c r="G13" s="307">
        <f>E13/$E$14</f>
        <v>1.1261188419309672E-2</v>
      </c>
      <c r="H13" s="307">
        <f t="shared" si="0"/>
        <v>2.2202917919590195E-2</v>
      </c>
      <c r="I13" s="313">
        <v>224.47499999999999</v>
      </c>
      <c r="J13" s="129">
        <v>2463.1212600000003</v>
      </c>
      <c r="K13" s="307">
        <f>I13/$I$14</f>
        <v>1.3729945624583314E-2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90279</v>
      </c>
      <c r="E14" s="319">
        <v>20376.090999999997</v>
      </c>
      <c r="F14" s="319">
        <v>223123.33414999998</v>
      </c>
      <c r="G14" s="320">
        <f>SUM(G9:G13)</f>
        <v>1.0000000000000002</v>
      </c>
      <c r="H14" s="320">
        <f>(E14-I14)/I14</f>
        <v>0.24629745616020229</v>
      </c>
      <c r="I14" s="321">
        <v>16349.300000000001</v>
      </c>
      <c r="J14" s="319">
        <v>179398.04095999998</v>
      </c>
      <c r="K14" s="320">
        <f>SUM(K9:K13)</f>
        <v>0.99999999999999989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89</v>
      </c>
      <c r="E15" s="308">
        <v>12847.804</v>
      </c>
      <c r="F15" s="308">
        <v>140234.01405999999</v>
      </c>
      <c r="G15" s="309">
        <f>E15/$E$20</f>
        <v>0.38569735072792477</v>
      </c>
      <c r="H15" s="309">
        <f>(E15-I15)/I15</f>
        <v>8.4317157141710536E-2</v>
      </c>
      <c r="I15" s="312">
        <v>11848.751</v>
      </c>
      <c r="J15" s="308">
        <v>129514.06724999998</v>
      </c>
      <c r="K15" s="309">
        <f>I15/$I$20</f>
        <v>0.39529964202428097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274</v>
      </c>
      <c r="E16" s="129">
        <v>3672.7330000000002</v>
      </c>
      <c r="F16" s="129">
        <v>40087.681470000003</v>
      </c>
      <c r="G16" s="307">
        <f>E16/$E$20</f>
        <v>0.11025723836003595</v>
      </c>
      <c r="H16" s="307">
        <f>(E16-I16)/I16</f>
        <v>2.0379626596698987E-2</v>
      </c>
      <c r="I16" s="313">
        <v>3599.3790000000004</v>
      </c>
      <c r="J16" s="129">
        <v>39343.747049999991</v>
      </c>
      <c r="K16" s="307">
        <f>I16/$I$20</f>
        <v>0.12008297163217579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8665</v>
      </c>
      <c r="E17" s="129">
        <v>7535.5749999999998</v>
      </c>
      <c r="F17" s="129">
        <v>82245.205780000004</v>
      </c>
      <c r="G17" s="307">
        <f>E17/$E$20</f>
        <v>0.22622164174605883</v>
      </c>
      <c r="H17" s="307">
        <f t="shared" ref="H17:H20" si="1">(E17-I17)/I17</f>
        <v>0.17233831833394112</v>
      </c>
      <c r="I17" s="313">
        <v>6427.8159999999998</v>
      </c>
      <c r="J17" s="129">
        <v>70259.939270000003</v>
      </c>
      <c r="K17" s="307">
        <f>I17/$I$20</f>
        <v>0.21444567142966761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81195</v>
      </c>
      <c r="E18" s="129">
        <v>9041.4</v>
      </c>
      <c r="F18" s="129">
        <v>98687.2</v>
      </c>
      <c r="G18" s="307">
        <f>E18/$E$20</f>
        <v>0.27142724366525661</v>
      </c>
      <c r="H18" s="307">
        <f t="shared" si="1"/>
        <v>0.14753141261581415</v>
      </c>
      <c r="I18" s="313">
        <v>7879</v>
      </c>
      <c r="J18" s="129">
        <v>86122.2</v>
      </c>
      <c r="K18" s="307">
        <f>I18/$I$20</f>
        <v>0.26286026936588591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9</v>
      </c>
      <c r="E19" s="129">
        <v>213.072</v>
      </c>
      <c r="F19" s="129">
        <v>2325.6949100000002</v>
      </c>
      <c r="G19" s="307">
        <f>E19/$E$20</f>
        <v>6.3965255007237334E-3</v>
      </c>
      <c r="H19" s="307">
        <f t="shared" si="1"/>
        <v>-2.7752174270147905E-2</v>
      </c>
      <c r="I19" s="313">
        <v>219.154</v>
      </c>
      <c r="J19" s="129">
        <v>2395.4765300000004</v>
      </c>
      <c r="K19" s="307">
        <f>I19/$I$20</f>
        <v>7.3114455479897644E-3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90232</v>
      </c>
      <c r="E20" s="319">
        <v>33310.584000000003</v>
      </c>
      <c r="F20" s="319">
        <v>363579.79622000002</v>
      </c>
      <c r="G20" s="320">
        <f>SUM(G15:G19)</f>
        <v>1</v>
      </c>
      <c r="H20" s="320">
        <f t="shared" si="1"/>
        <v>0.11131223289439897</v>
      </c>
      <c r="I20" s="321">
        <v>29974.1</v>
      </c>
      <c r="J20" s="319">
        <v>327635.43009999994</v>
      </c>
      <c r="K20" s="320">
        <f>SUM(K15:K19)</f>
        <v>1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89</v>
      </c>
      <c r="E21" s="308">
        <v>12920.516</v>
      </c>
      <c r="F21" s="308">
        <v>140659.45481</v>
      </c>
      <c r="G21" s="309">
        <f>E21/$E$26</f>
        <v>0.34254897320141198</v>
      </c>
      <c r="H21" s="309">
        <f>(E21-I21)/I21</f>
        <v>9.2842632464440449E-3</v>
      </c>
      <c r="I21" s="312">
        <v>12801.662</v>
      </c>
      <c r="J21" s="308">
        <v>139608.10016999999</v>
      </c>
      <c r="K21" s="309">
        <f>I21/$I$26</f>
        <v>0.35037145500227168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274</v>
      </c>
      <c r="E22" s="129">
        <v>4064.652</v>
      </c>
      <c r="F22" s="129">
        <v>44249.951739999997</v>
      </c>
      <c r="G22" s="307">
        <f>E22/$E$26</f>
        <v>0.10776213341797383</v>
      </c>
      <c r="H22" s="307">
        <f t="shared" ref="H22:H26" si="2">(E22-I22)/I22</f>
        <v>6.7920314690936134E-3</v>
      </c>
      <c r="I22" s="313">
        <v>4037.2309999999998</v>
      </c>
      <c r="J22" s="129">
        <v>44027.467299999989</v>
      </c>
      <c r="K22" s="307">
        <f>I22/$I$26</f>
        <v>0.11049584808990241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8670</v>
      </c>
      <c r="E23" s="129">
        <v>9136.014000000001</v>
      </c>
      <c r="F23" s="129">
        <v>99453.389230000001</v>
      </c>
      <c r="G23" s="307">
        <f>E23/$E$26</f>
        <v>0.2422141820693326</v>
      </c>
      <c r="H23" s="307">
        <f t="shared" si="2"/>
        <v>5.960046304098271E-2</v>
      </c>
      <c r="I23" s="313">
        <v>8622.1309999999903</v>
      </c>
      <c r="J23" s="129">
        <v>94027.104259999978</v>
      </c>
      <c r="K23" s="307">
        <f>I23/$I$26</f>
        <v>0.23598096744705402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81169</v>
      </c>
      <c r="E24" s="129">
        <v>11389.4</v>
      </c>
      <c r="F24" s="129">
        <v>123991.4</v>
      </c>
      <c r="G24" s="307">
        <f>E24/$E$26</f>
        <v>0.30195599582711413</v>
      </c>
      <c r="H24" s="307">
        <f t="shared" si="2"/>
        <v>4.7946781005309053E-2</v>
      </c>
      <c r="I24" s="313">
        <v>10868.3</v>
      </c>
      <c r="J24" s="129">
        <v>118523.79999999986</v>
      </c>
      <c r="K24" s="307">
        <f>I24/$I$26</f>
        <v>0.29745685243066011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9</v>
      </c>
      <c r="E25" s="129">
        <v>208.15899999999999</v>
      </c>
      <c r="F25" s="129">
        <v>2266.1298700000002</v>
      </c>
      <c r="G25" s="307">
        <f>E25/$E$26</f>
        <v>5.5187154841674062E-3</v>
      </c>
      <c r="H25" s="307">
        <f t="shared" si="2"/>
        <v>3.9889271227819842E-4</v>
      </c>
      <c r="I25" s="313">
        <v>208.07599999999999</v>
      </c>
      <c r="J25" s="129">
        <v>2269.1733200000003</v>
      </c>
      <c r="K25" s="307">
        <f>I25/$I$26</f>
        <v>5.6948770301116121E-3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90211</v>
      </c>
      <c r="E26" s="319">
        <v>37718.741000000002</v>
      </c>
      <c r="F26" s="319">
        <v>410620.32564999996</v>
      </c>
      <c r="G26" s="320">
        <f>SUM(G21:G25)</f>
        <v>0.99999999999999978</v>
      </c>
      <c r="H26" s="320">
        <f t="shared" si="2"/>
        <v>3.2332377235380946E-2</v>
      </c>
      <c r="I26" s="321">
        <v>36537.399999999994</v>
      </c>
      <c r="J26" s="319">
        <v>398455.64504999982</v>
      </c>
      <c r="K26" s="320">
        <f>SUM(K21:K25)</f>
        <v>0.99999999999999989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89</v>
      </c>
      <c r="E27" s="308">
        <f>E9+E15+E21</f>
        <v>34811.024000000005</v>
      </c>
      <c r="F27" s="308">
        <f>F9+F15+F21</f>
        <v>379916.09574000002</v>
      </c>
      <c r="G27" s="309">
        <f>E27/$E$32</f>
        <v>0.38084202800411737</v>
      </c>
      <c r="H27" s="309">
        <f>(E27-I27)/I27</f>
        <v>6.5745957823479709E-2</v>
      </c>
      <c r="I27" s="312">
        <f>I9+I15+I21</f>
        <v>32663.528999999999</v>
      </c>
      <c r="J27" s="308">
        <f>J9+J15+J21</f>
        <v>357047.94882999995</v>
      </c>
      <c r="K27" s="309">
        <f>I27/$I$32</f>
        <v>0.39419760610566157</v>
      </c>
    </row>
    <row r="28" spans="1:20" ht="11.15" customHeight="1">
      <c r="A28" s="423"/>
      <c r="B28" s="423"/>
      <c r="C28" s="154" t="s">
        <v>5</v>
      </c>
      <c r="D28" s="313">
        <f>D22</f>
        <v>274</v>
      </c>
      <c r="E28" s="129">
        <f t="shared" ref="E28:F31" si="3">E10+E16+E22</f>
        <v>10122.031999999999</v>
      </c>
      <c r="F28" s="129">
        <f t="shared" si="3"/>
        <v>110450.27283</v>
      </c>
      <c r="G28" s="307">
        <f>E28/$E$32</f>
        <v>0.11073777072465812</v>
      </c>
      <c r="H28" s="307">
        <f t="shared" ref="H28:H31" si="4">(E28-I28)/I28</f>
        <v>3.3529776887132816E-2</v>
      </c>
      <c r="I28" s="313">
        <f t="shared" ref="I28:J28" si="5">I10+I16+I22</f>
        <v>9793.6530000000002</v>
      </c>
      <c r="J28" s="129">
        <f t="shared" si="5"/>
        <v>107040.21704999998</v>
      </c>
      <c r="K28" s="307">
        <f>I28/$I$32</f>
        <v>0.11819404350428672</v>
      </c>
    </row>
    <row r="29" spans="1:20" ht="11.15" customHeight="1">
      <c r="A29" s="423"/>
      <c r="B29" s="423"/>
      <c r="C29" s="154" t="s">
        <v>6</v>
      </c>
      <c r="D29" s="313">
        <f>D23</f>
        <v>8670</v>
      </c>
      <c r="E29" s="129">
        <f t="shared" si="3"/>
        <v>20727.97</v>
      </c>
      <c r="F29" s="129">
        <f t="shared" si="3"/>
        <v>226112.86874999999</v>
      </c>
      <c r="G29" s="307">
        <f>E29/$E$32</f>
        <v>0.22676960411186137</v>
      </c>
      <c r="H29" s="307">
        <f t="shared" si="4"/>
        <v>0.16531673268057662</v>
      </c>
      <c r="I29" s="313">
        <f t="shared" ref="I29:J29" si="6">I11+I17+I23</f>
        <v>17787.41299999999</v>
      </c>
      <c r="J29" s="129">
        <f t="shared" si="6"/>
        <v>194325.17911999999</v>
      </c>
      <c r="K29" s="307">
        <f>I29/$I$32</f>
        <v>0.2146661992160345</v>
      </c>
    </row>
    <row r="30" spans="1:20" ht="11.15" customHeight="1">
      <c r="A30" s="423"/>
      <c r="B30" s="423"/>
      <c r="C30" s="154" t="s">
        <v>7</v>
      </c>
      <c r="D30" s="313">
        <f>D24</f>
        <v>81169</v>
      </c>
      <c r="E30" s="129">
        <f t="shared" si="3"/>
        <v>25093.699999999997</v>
      </c>
      <c r="F30" s="129">
        <f t="shared" si="3"/>
        <v>273739.69999999995</v>
      </c>
      <c r="G30" s="307">
        <f>E30/$E$32</f>
        <v>0.27453187237832816</v>
      </c>
      <c r="H30" s="307">
        <f t="shared" si="4"/>
        <v>0.14246625236176544</v>
      </c>
      <c r="I30" s="313">
        <f t="shared" ref="I30:J30" si="7">I12+I18+I24</f>
        <v>21964.5</v>
      </c>
      <c r="J30" s="129">
        <f t="shared" si="7"/>
        <v>239947.99999999985</v>
      </c>
      <c r="K30" s="307">
        <f>I30/$I$32</f>
        <v>0.26507709314899208</v>
      </c>
    </row>
    <row r="31" spans="1:20" ht="11.15" customHeight="1">
      <c r="A31" s="423"/>
      <c r="B31" s="423"/>
      <c r="C31" s="154" t="s">
        <v>92</v>
      </c>
      <c r="D31" s="313">
        <f>D25</f>
        <v>9</v>
      </c>
      <c r="E31" s="129">
        <f>E13+E19+E25</f>
        <v>650.69000000000005</v>
      </c>
      <c r="F31" s="129">
        <f t="shared" si="3"/>
        <v>7104.5187000000005</v>
      </c>
      <c r="G31" s="307">
        <f>E31/$E$32</f>
        <v>7.1187247810348565E-3</v>
      </c>
      <c r="H31" s="307">
        <f t="shared" si="4"/>
        <v>-1.5574531421425127E-3</v>
      </c>
      <c r="I31" s="313">
        <f>I13+I19+I25</f>
        <v>651.70500000000004</v>
      </c>
      <c r="J31" s="129">
        <f t="shared" ref="J31" si="8">J13+J19+J25</f>
        <v>7127.7711100000015</v>
      </c>
      <c r="K31" s="307">
        <f>I31/$I$32</f>
        <v>7.8650580250251047E-3</v>
      </c>
    </row>
    <row r="32" spans="1:20" ht="11.15" customHeight="1">
      <c r="A32" s="424"/>
      <c r="B32" s="424"/>
      <c r="C32" s="318" t="s">
        <v>0</v>
      </c>
      <c r="D32" s="321">
        <f>SUM(D27:D31)</f>
        <v>90211</v>
      </c>
      <c r="E32" s="319">
        <f>SUM(E27:E31)</f>
        <v>91405.416000000012</v>
      </c>
      <c r="F32" s="319">
        <f>SUM(F27:F31)</f>
        <v>997323.45602000004</v>
      </c>
      <c r="G32" s="320">
        <f>SUM(G27:G31)</f>
        <v>0.99999999999999989</v>
      </c>
      <c r="H32" s="320">
        <f>(E32-I32)/I32</f>
        <v>0.10312012435313229</v>
      </c>
      <c r="I32" s="321">
        <f>SUM(I27:I31)</f>
        <v>82860.799999999988</v>
      </c>
      <c r="J32" s="319">
        <f>SUM(J27:J31)</f>
        <v>905489.11610999983</v>
      </c>
      <c r="K32" s="320">
        <f>SUM(K27:K31)</f>
        <v>1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40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181</v>
      </c>
      <c r="E39" s="308">
        <v>31739.168000000001</v>
      </c>
      <c r="F39" s="308">
        <v>347342.24608999997</v>
      </c>
      <c r="G39" s="309">
        <f>E39/$E$44</f>
        <v>0.55413595378419933</v>
      </c>
      <c r="H39" s="309">
        <f>(E39-I39)/I39</f>
        <v>-9.8444463475888852E-2</v>
      </c>
      <c r="I39" s="312">
        <v>35204.895000000004</v>
      </c>
      <c r="J39" s="308">
        <v>386015.31883999996</v>
      </c>
      <c r="K39" s="309">
        <f>I39/$I$44</f>
        <v>0.66094978908776802</v>
      </c>
    </row>
    <row r="40" spans="1:11" ht="11.15" customHeight="1">
      <c r="A40" s="423"/>
      <c r="B40" s="423"/>
      <c r="C40" s="154" t="s">
        <v>5</v>
      </c>
      <c r="D40" s="313">
        <v>419</v>
      </c>
      <c r="E40" s="129">
        <v>3935.038</v>
      </c>
      <c r="F40" s="129">
        <v>43072.091</v>
      </c>
      <c r="G40" s="307">
        <f t="shared" ref="G40" si="9">E40/$E$44</f>
        <v>6.8702054045873789E-2</v>
      </c>
      <c r="H40" s="307">
        <f>(E40-I40)/I40</f>
        <v>0.4613183303624479</v>
      </c>
      <c r="I40" s="313">
        <v>2692.8</v>
      </c>
      <c r="J40" s="129">
        <v>29533.100859999977</v>
      </c>
      <c r="K40" s="307">
        <f t="shared" ref="K40:K43" si="10">I40/$I$44</f>
        <v>5.05556284731297E-2</v>
      </c>
    </row>
    <row r="41" spans="1:11" ht="11.15" customHeight="1">
      <c r="A41" s="423"/>
      <c r="B41" s="423"/>
      <c r="C41" s="154" t="s">
        <v>6</v>
      </c>
      <c r="D41" s="313">
        <v>17948</v>
      </c>
      <c r="E41" s="129">
        <v>6553.5369999999994</v>
      </c>
      <c r="F41" s="129">
        <v>71745.175969999997</v>
      </c>
      <c r="G41" s="307">
        <f>E41/$E$44</f>
        <v>0.11441857821084156</v>
      </c>
      <c r="H41" s="307">
        <f t="shared" ref="H41:H43" si="11">(E41-I41)/I41</f>
        <v>0.48840274290625135</v>
      </c>
      <c r="I41" s="313">
        <v>4403.067</v>
      </c>
      <c r="J41" s="129">
        <v>48310.356189999999</v>
      </c>
      <c r="K41" s="307">
        <f t="shared" si="10"/>
        <v>8.2664817065618595E-2</v>
      </c>
    </row>
    <row r="42" spans="1:11" ht="11.15" customHeight="1">
      <c r="A42" s="423"/>
      <c r="B42" s="423"/>
      <c r="C42" s="154" t="s">
        <v>7</v>
      </c>
      <c r="D42" s="313">
        <v>347394</v>
      </c>
      <c r="E42" s="129">
        <v>12974.507</v>
      </c>
      <c r="F42" s="129">
        <v>142074.15900000001</v>
      </c>
      <c r="G42" s="307">
        <f>E42/$E$44</f>
        <v>0.22652266156834261</v>
      </c>
      <c r="H42" s="307">
        <f t="shared" si="11"/>
        <v>0.44939028340985493</v>
      </c>
      <c r="I42" s="313">
        <v>8951.7000000000007</v>
      </c>
      <c r="J42" s="129">
        <v>98225.4</v>
      </c>
      <c r="K42" s="307">
        <f t="shared" si="10"/>
        <v>0.16806254434154605</v>
      </c>
    </row>
    <row r="43" spans="1:11" ht="11.15" customHeight="1">
      <c r="A43" s="423"/>
      <c r="B43" s="423"/>
      <c r="C43" s="154" t="s">
        <v>92</v>
      </c>
      <c r="D43" s="313">
        <v>36</v>
      </c>
      <c r="E43" s="129">
        <v>2074.6109999999999</v>
      </c>
      <c r="F43" s="129">
        <v>22702.407909999998</v>
      </c>
      <c r="G43" s="307">
        <f>E43/$E$44</f>
        <v>3.6220752390742926E-2</v>
      </c>
      <c r="H43" s="307">
        <f t="shared" si="11"/>
        <v>3.130485271448076E-2</v>
      </c>
      <c r="I43" s="313">
        <v>2011.6369999999999</v>
      </c>
      <c r="J43" s="129">
        <v>22060.773000000001</v>
      </c>
      <c r="K43" s="307">
        <f t="shared" si="10"/>
        <v>3.7767221031937463E-2</v>
      </c>
    </row>
    <row r="44" spans="1:11" ht="11.15" customHeight="1">
      <c r="A44" s="424"/>
      <c r="B44" s="424"/>
      <c r="C44" s="318" t="s">
        <v>0</v>
      </c>
      <c r="D44" s="321">
        <v>365978</v>
      </c>
      <c r="E44" s="319">
        <v>57276.86099999999</v>
      </c>
      <c r="F44" s="319">
        <v>626936.07996999996</v>
      </c>
      <c r="G44" s="320">
        <f>SUM(G39:G43)</f>
        <v>1.0000000000000002</v>
      </c>
      <c r="H44" s="320">
        <f>(E44-I44)/I44</f>
        <v>7.5337085867161147E-2</v>
      </c>
      <c r="I44" s="321">
        <v>53264.099000000017</v>
      </c>
      <c r="J44" s="319">
        <v>584144.94889</v>
      </c>
      <c r="K44" s="320">
        <f>SUM(K39:K43)</f>
        <v>0.99999999999999967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180</v>
      </c>
      <c r="E45" s="308">
        <v>40818.264000000003</v>
      </c>
      <c r="F45" s="308">
        <v>445201.14354999998</v>
      </c>
      <c r="G45" s="309">
        <f>E45/$E$50</f>
        <v>0.4779123563254391</v>
      </c>
      <c r="H45" s="309">
        <f>(E45-I45)/I45</f>
        <v>1.4956525215941605E-2</v>
      </c>
      <c r="I45" s="312">
        <v>40216.761000000006</v>
      </c>
      <c r="J45" s="308">
        <v>439259.8047700001</v>
      </c>
      <c r="K45" s="309">
        <f>I45/$I$50</f>
        <v>0.50676833411076838</v>
      </c>
    </row>
    <row r="46" spans="1:11" ht="11.15" customHeight="1">
      <c r="A46" s="423"/>
      <c r="B46" s="423"/>
      <c r="C46" s="154" t="s">
        <v>5</v>
      </c>
      <c r="D46" s="313">
        <v>421</v>
      </c>
      <c r="E46" s="129">
        <v>5221.8200000000006</v>
      </c>
      <c r="F46" s="129">
        <v>56965.444600000003</v>
      </c>
      <c r="G46" s="307">
        <f t="shared" ref="G46:G49" si="12">E46/$E$50</f>
        <v>6.1138619234451137E-2</v>
      </c>
      <c r="H46" s="307">
        <f>(E46-I46)/I46</f>
        <v>8.2018010356815177E-2</v>
      </c>
      <c r="I46" s="313">
        <v>4826.0010000000002</v>
      </c>
      <c r="J46" s="129">
        <v>52724.850480000001</v>
      </c>
      <c r="K46" s="307">
        <f t="shared" ref="K46:K49" si="13">I46/$I$50</f>
        <v>6.0812070051760314E-2</v>
      </c>
    </row>
    <row r="47" spans="1:11" ht="11.15" customHeight="1">
      <c r="A47" s="423"/>
      <c r="B47" s="423"/>
      <c r="C47" s="154" t="s">
        <v>6</v>
      </c>
      <c r="D47" s="313">
        <v>17946</v>
      </c>
      <c r="E47" s="129">
        <v>12138.422</v>
      </c>
      <c r="F47" s="129">
        <v>132468.15346999999</v>
      </c>
      <c r="G47" s="307">
        <f t="shared" si="12"/>
        <v>0.14212024940826853</v>
      </c>
      <c r="H47" s="307">
        <f t="shared" ref="H47:H49" si="14">(E47-I47)/I47</f>
        <v>0.17344234038408654</v>
      </c>
      <c r="I47" s="313">
        <v>10344.285</v>
      </c>
      <c r="J47" s="129">
        <v>113059.68538000001</v>
      </c>
      <c r="K47" s="307">
        <f t="shared" si="13"/>
        <v>0.13034754531865481</v>
      </c>
    </row>
    <row r="48" spans="1:11" ht="11.15" customHeight="1">
      <c r="A48" s="423"/>
      <c r="B48" s="423"/>
      <c r="C48" s="154" t="s">
        <v>7</v>
      </c>
      <c r="D48" s="313">
        <v>347205</v>
      </c>
      <c r="E48" s="129">
        <v>25157.1</v>
      </c>
      <c r="F48" s="129">
        <v>274590.5</v>
      </c>
      <c r="G48" s="307">
        <f t="shared" si="12"/>
        <v>0.29454679746582813</v>
      </c>
      <c r="H48" s="307">
        <f t="shared" si="14"/>
        <v>0.14753133723794404</v>
      </c>
      <c r="I48" s="313">
        <v>21922.799999999999</v>
      </c>
      <c r="J48" s="129">
        <v>239629.057</v>
      </c>
      <c r="K48" s="307">
        <f t="shared" si="13"/>
        <v>0.27624752861235025</v>
      </c>
    </row>
    <row r="49" spans="1:11" ht="11.15" customHeight="1">
      <c r="A49" s="423"/>
      <c r="B49" s="423"/>
      <c r="C49" s="154" t="s">
        <v>92</v>
      </c>
      <c r="D49" s="313">
        <v>36</v>
      </c>
      <c r="E49" s="129">
        <v>2073.9119999999998</v>
      </c>
      <c r="F49" s="129">
        <v>22621.82905</v>
      </c>
      <c r="G49" s="307">
        <f t="shared" si="12"/>
        <v>2.4281977566013191E-2</v>
      </c>
      <c r="H49" s="307">
        <f t="shared" si="14"/>
        <v>1.1953167123300964E-2</v>
      </c>
      <c r="I49" s="313">
        <v>2049.415</v>
      </c>
      <c r="J49" s="129">
        <v>22387.912390000001</v>
      </c>
      <c r="K49" s="307">
        <f t="shared" si="13"/>
        <v>2.5824521906466315E-2</v>
      </c>
    </row>
    <row r="50" spans="1:11" ht="11.15" customHeight="1">
      <c r="A50" s="424"/>
      <c r="B50" s="424"/>
      <c r="C50" s="318" t="s">
        <v>0</v>
      </c>
      <c r="D50" s="321">
        <v>365788</v>
      </c>
      <c r="E50" s="319">
        <v>85409.517999999996</v>
      </c>
      <c r="F50" s="319">
        <v>931847.07067000004</v>
      </c>
      <c r="G50" s="320">
        <f>SUM(G45:G49)</f>
        <v>1</v>
      </c>
      <c r="H50" s="320">
        <f t="shared" ref="H50" si="15">(E50-I50)/I50</f>
        <v>7.6238813813565884E-2</v>
      </c>
      <c r="I50" s="321">
        <v>79359.262000000002</v>
      </c>
      <c r="J50" s="319">
        <v>867061.31002000009</v>
      </c>
      <c r="K50" s="320">
        <f>SUM(K45:K49)</f>
        <v>1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179</v>
      </c>
      <c r="E51" s="308">
        <v>42596.191000000006</v>
      </c>
      <c r="F51" s="308">
        <v>463489.14540000004</v>
      </c>
      <c r="G51" s="309">
        <f>E51/$E$56</f>
        <v>0.43603486031689576</v>
      </c>
      <c r="H51" s="309">
        <f>(E51-I51)/I51</f>
        <v>8.18188779290588E-2</v>
      </c>
      <c r="I51" s="312">
        <v>39374.605000000091</v>
      </c>
      <c r="J51" s="308">
        <v>429104.50057000003</v>
      </c>
      <c r="K51" s="309">
        <f>I51/$I$56</f>
        <v>0.42931888940723928</v>
      </c>
    </row>
    <row r="52" spans="1:11" ht="11.15" customHeight="1">
      <c r="A52" s="423"/>
      <c r="B52" s="423"/>
      <c r="C52" s="154" t="s">
        <v>5</v>
      </c>
      <c r="D52" s="313">
        <v>421</v>
      </c>
      <c r="E52" s="129">
        <v>6541.0540000000001</v>
      </c>
      <c r="F52" s="129">
        <v>71184.172920000012</v>
      </c>
      <c r="G52" s="307">
        <f t="shared" ref="G52:G55" si="16">E52/$E$56</f>
        <v>6.6957338209307771E-2</v>
      </c>
      <c r="H52" s="307">
        <f t="shared" ref="H52:H55" si="17">(E52-I52)/I52</f>
        <v>9.1321918455015222E-2</v>
      </c>
      <c r="I52" s="313">
        <v>5993.6980000000112</v>
      </c>
      <c r="J52" s="129">
        <v>65332.164729999968</v>
      </c>
      <c r="K52" s="307">
        <f t="shared" ref="K52:K55" si="18">I52/$I$56</f>
        <v>6.5351964008334568E-2</v>
      </c>
    </row>
    <row r="53" spans="1:11" ht="11.15" customHeight="1">
      <c r="A53" s="423"/>
      <c r="B53" s="423"/>
      <c r="C53" s="154" t="s">
        <v>6</v>
      </c>
      <c r="D53" s="313">
        <v>17952</v>
      </c>
      <c r="E53" s="129">
        <v>14712.066999999999</v>
      </c>
      <c r="F53" s="129">
        <v>160144.31934000002</v>
      </c>
      <c r="G53" s="307">
        <f t="shared" si="16"/>
        <v>0.15059971158730626</v>
      </c>
      <c r="H53" s="307">
        <f t="shared" si="17"/>
        <v>5.9651663430178609E-2</v>
      </c>
      <c r="I53" s="313">
        <v>13883.870999999983</v>
      </c>
      <c r="J53" s="129">
        <v>151406.24158</v>
      </c>
      <c r="K53" s="307">
        <f t="shared" si="18"/>
        <v>0.15138204125205462</v>
      </c>
    </row>
    <row r="54" spans="1:11" ht="11.15" customHeight="1">
      <c r="A54" s="423"/>
      <c r="B54" s="423"/>
      <c r="C54" s="154" t="s">
        <v>7</v>
      </c>
      <c r="D54" s="313">
        <v>347091</v>
      </c>
      <c r="E54" s="129">
        <v>31870.428</v>
      </c>
      <c r="F54" s="129">
        <v>346920.03600000002</v>
      </c>
      <c r="G54" s="307">
        <f t="shared" si="16"/>
        <v>0.32624085147002185</v>
      </c>
      <c r="H54" s="307">
        <f t="shared" si="17"/>
        <v>4.7303917074360234E-2</v>
      </c>
      <c r="I54" s="313">
        <v>30430.926000000007</v>
      </c>
      <c r="J54" s="129">
        <v>331818.94200000039</v>
      </c>
      <c r="K54" s="307">
        <f t="shared" si="18"/>
        <v>0.3318019661137897</v>
      </c>
    </row>
    <row r="55" spans="1:11" ht="11.15" customHeight="1">
      <c r="A55" s="423"/>
      <c r="B55" s="423"/>
      <c r="C55" s="154" t="s">
        <v>92</v>
      </c>
      <c r="D55" s="313">
        <v>36</v>
      </c>
      <c r="E55" s="129">
        <v>1970.135</v>
      </c>
      <c r="F55" s="129">
        <v>21434.771760000003</v>
      </c>
      <c r="G55" s="307">
        <f t="shared" si="16"/>
        <v>2.016723841646844E-2</v>
      </c>
      <c r="H55" s="307">
        <f t="shared" si="17"/>
        <v>-2.9978503433246879E-2</v>
      </c>
      <c r="I55" s="313">
        <v>2031.0219999999999</v>
      </c>
      <c r="J55" s="129">
        <v>22143.795569999998</v>
      </c>
      <c r="K55" s="307">
        <f t="shared" si="18"/>
        <v>2.2145139218581824E-2</v>
      </c>
    </row>
    <row r="56" spans="1:11" ht="11.15" customHeight="1">
      <c r="A56" s="424"/>
      <c r="B56" s="424"/>
      <c r="C56" s="318" t="s">
        <v>0</v>
      </c>
      <c r="D56" s="321">
        <v>365679</v>
      </c>
      <c r="E56" s="319">
        <v>97689.875</v>
      </c>
      <c r="F56" s="319">
        <v>1063172.44542</v>
      </c>
      <c r="G56" s="320">
        <f>SUM(G51:G55)</f>
        <v>1</v>
      </c>
      <c r="H56" s="320">
        <f t="shared" ref="H56" si="19">(E56-I56)/I56</f>
        <v>6.5156301665297567E-2</v>
      </c>
      <c r="I56" s="321">
        <v>91714.12200000009</v>
      </c>
      <c r="J56" s="319">
        <v>999805.64445000037</v>
      </c>
      <c r="K56" s="320">
        <f>SUM(K51:K55)</f>
        <v>1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179</v>
      </c>
      <c r="E57" s="308">
        <f>E39+E45+E51</f>
        <v>115153.62300000001</v>
      </c>
      <c r="F57" s="308">
        <f>F39+F45+F51</f>
        <v>1256032.53504</v>
      </c>
      <c r="G57" s="309">
        <f>E57/$E$62</f>
        <v>0.47905573484808534</v>
      </c>
      <c r="H57" s="309">
        <f>(E57-I57)/I57</f>
        <v>3.1130107974500277E-3</v>
      </c>
      <c r="I57" s="312">
        <f>I39+I45+I51</f>
        <v>114796.26100000012</v>
      </c>
      <c r="J57" s="308">
        <f>J39+J45+J51</f>
        <v>1254379.6241800003</v>
      </c>
      <c r="K57" s="309">
        <f>I57/$I$62</f>
        <v>0.51171235169826723</v>
      </c>
    </row>
    <row r="58" spans="1:11" ht="11.15" customHeight="1">
      <c r="A58" s="423"/>
      <c r="B58" s="423"/>
      <c r="C58" s="154" t="s">
        <v>5</v>
      </c>
      <c r="D58" s="313">
        <f>D52</f>
        <v>421</v>
      </c>
      <c r="E58" s="129">
        <f t="shared" ref="E58:F59" si="20">E40+E46+E52</f>
        <v>15697.912</v>
      </c>
      <c r="F58" s="129">
        <f t="shared" si="20"/>
        <v>171221.70852000001</v>
      </c>
      <c r="G58" s="307">
        <f t="shared" ref="G58:G61" si="21">E58/$E$62</f>
        <v>6.5305585467689345E-2</v>
      </c>
      <c r="H58" s="307">
        <f t="shared" ref="H58:H61" si="22">(E58-I58)/I58</f>
        <v>0.16173270392101327</v>
      </c>
      <c r="I58" s="313">
        <f t="shared" ref="I58:J58" si="23">I40+I46+I52</f>
        <v>13512.499000000011</v>
      </c>
      <c r="J58" s="129">
        <f t="shared" si="23"/>
        <v>147590.11606999993</v>
      </c>
      <c r="K58" s="307">
        <f t="shared" ref="K58:K61" si="24">I58/$I$62</f>
        <v>6.0232908113710106E-2</v>
      </c>
    </row>
    <row r="59" spans="1:11" ht="11.15" customHeight="1">
      <c r="A59" s="423"/>
      <c r="B59" s="423"/>
      <c r="C59" s="154" t="s">
        <v>6</v>
      </c>
      <c r="D59" s="313">
        <f>D53</f>
        <v>17952</v>
      </c>
      <c r="E59" s="129">
        <f>E41+E47+E53</f>
        <v>33404.025999999998</v>
      </c>
      <c r="F59" s="129">
        <f t="shared" si="20"/>
        <v>364357.64878000005</v>
      </c>
      <c r="G59" s="307">
        <f t="shared" si="21"/>
        <v>0.1389655818498611</v>
      </c>
      <c r="H59" s="307">
        <f t="shared" si="22"/>
        <v>0.16669923600539233</v>
      </c>
      <c r="I59" s="313">
        <f>I41+I47+I53</f>
        <v>28631.222999999984</v>
      </c>
      <c r="J59" s="129">
        <f t="shared" ref="J59" si="25">J41+J47+J53</f>
        <v>312776.28315000003</v>
      </c>
      <c r="K59" s="307">
        <f t="shared" si="24"/>
        <v>0.12762567635654523</v>
      </c>
    </row>
    <row r="60" spans="1:11" ht="11.15" customHeight="1">
      <c r="A60" s="423"/>
      <c r="B60" s="423"/>
      <c r="C60" s="154" t="s">
        <v>7</v>
      </c>
      <c r="D60" s="313">
        <f>D54</f>
        <v>347091</v>
      </c>
      <c r="E60" s="129">
        <f t="shared" ref="E60:F61" si="26">E42+E48+E54</f>
        <v>70002.035000000003</v>
      </c>
      <c r="F60" s="129">
        <f t="shared" si="26"/>
        <v>763584.69500000007</v>
      </c>
      <c r="G60" s="307">
        <f t="shared" si="21"/>
        <v>0.29121859516123422</v>
      </c>
      <c r="H60" s="307">
        <f t="shared" si="22"/>
        <v>0.1418570845588773</v>
      </c>
      <c r="I60" s="313">
        <f t="shared" ref="I60:J60" si="27">I42+I48+I54</f>
        <v>61305.426000000007</v>
      </c>
      <c r="J60" s="129">
        <f t="shared" si="27"/>
        <v>669673.39900000044</v>
      </c>
      <c r="K60" s="307">
        <f t="shared" si="24"/>
        <v>0.27327321845721153</v>
      </c>
    </row>
    <row r="61" spans="1:11" ht="11.15" customHeight="1">
      <c r="A61" s="423"/>
      <c r="B61" s="423"/>
      <c r="C61" s="154" t="s">
        <v>92</v>
      </c>
      <c r="D61" s="313">
        <f>D55</f>
        <v>36</v>
      </c>
      <c r="E61" s="129">
        <f>E43+E49+E55</f>
        <v>6118.6579999999994</v>
      </c>
      <c r="F61" s="129">
        <f t="shared" si="26"/>
        <v>66759.008719999998</v>
      </c>
      <c r="G61" s="307">
        <f t="shared" si="21"/>
        <v>2.5454502673130101E-2</v>
      </c>
      <c r="H61" s="307">
        <f t="shared" si="22"/>
        <v>4.363702739001502E-3</v>
      </c>
      <c r="I61" s="313">
        <f>I43+I49+I55</f>
        <v>6092.0739999999996</v>
      </c>
      <c r="J61" s="129">
        <f t="shared" ref="J61" si="28">J43+J49+J55</f>
        <v>66592.480960000001</v>
      </c>
      <c r="K61" s="307">
        <f t="shared" si="24"/>
        <v>2.7155845374265863E-2</v>
      </c>
    </row>
    <row r="62" spans="1:11" ht="11.15" customHeight="1">
      <c r="A62" s="424"/>
      <c r="B62" s="424"/>
      <c r="C62" s="318" t="s">
        <v>0</v>
      </c>
      <c r="D62" s="321">
        <f>SUM(D57:D61)</f>
        <v>365679</v>
      </c>
      <c r="E62" s="319">
        <f>SUM(E57:E61)</f>
        <v>240376.25399999999</v>
      </c>
      <c r="F62" s="319">
        <f>SUM(F57:F61)</f>
        <v>2621955.5960599999</v>
      </c>
      <c r="G62" s="320">
        <f>SUM(G57:G61)</f>
        <v>1</v>
      </c>
      <c r="H62" s="320">
        <f>(E62-I62)/I62</f>
        <v>7.1493942008789738E-2</v>
      </c>
      <c r="I62" s="321">
        <f>SUM(I57:I61)</f>
        <v>224337.48300000012</v>
      </c>
      <c r="J62" s="319">
        <f>SUM(J57:J61)</f>
        <v>2451011.9033600003</v>
      </c>
      <c r="K62" s="320">
        <f>SUM(K57:K61)</f>
        <v>0.99999999999999989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6"/>
  <dimension ref="A1:T120"/>
  <sheetViews>
    <sheetView showGridLines="0" topLeftCell="A19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302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41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120</v>
      </c>
      <c r="E9" s="308">
        <v>14929.088</v>
      </c>
      <c r="F9" s="308">
        <v>163480.57193999999</v>
      </c>
      <c r="G9" s="309">
        <f>E9/$E$14</f>
        <v>0.47198505868953705</v>
      </c>
      <c r="H9" s="309">
        <f>(E9-I9)/I9</f>
        <v>-1.6798234738778742E-2</v>
      </c>
      <c r="I9" s="312">
        <v>15184.155000000001</v>
      </c>
      <c r="J9" s="308">
        <v>166612.1612700001</v>
      </c>
      <c r="K9" s="309">
        <f>I9/$I$14</f>
        <v>0.56030505760190119</v>
      </c>
    </row>
    <row r="10" spans="1:16" ht="11.15" customHeight="1">
      <c r="A10" s="423"/>
      <c r="B10" s="423"/>
      <c r="C10" s="154" t="s">
        <v>5</v>
      </c>
      <c r="D10" s="313">
        <v>340</v>
      </c>
      <c r="E10" s="129">
        <v>2832.7620000000002</v>
      </c>
      <c r="F10" s="129">
        <v>31020.199240000002</v>
      </c>
      <c r="G10" s="307">
        <f>E10/$E$14</f>
        <v>8.9558139038599716E-2</v>
      </c>
      <c r="H10" s="307">
        <f>(E10-I10)/I10</f>
        <v>0.21442565658661564</v>
      </c>
      <c r="I10" s="313">
        <v>2332.5940000000001</v>
      </c>
      <c r="J10" s="129">
        <v>25594.625049999988</v>
      </c>
      <c r="K10" s="307">
        <f>I10/$I$14</f>
        <v>8.6074214569849233E-2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12959</v>
      </c>
      <c r="E11" s="129">
        <v>4842.0249999999996</v>
      </c>
      <c r="F11" s="129">
        <v>53022.313000000002</v>
      </c>
      <c r="G11" s="307">
        <f>E11/$E$14</f>
        <v>0.1530812500938574</v>
      </c>
      <c r="H11" s="307">
        <f t="shared" ref="H11:H13" si="0">(E11-I11)/I11</f>
        <v>0.47775895745589936</v>
      </c>
      <c r="I11" s="313">
        <v>3276.6</v>
      </c>
      <c r="J11" s="129">
        <v>35953.4</v>
      </c>
      <c r="K11" s="307">
        <f>I11/$I$14</f>
        <v>0.12090864139218739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167625</v>
      </c>
      <c r="E12" s="129">
        <v>8598.5</v>
      </c>
      <c r="F12" s="129">
        <v>94158.3</v>
      </c>
      <c r="G12" s="307">
        <f>E12/$E$14</f>
        <v>0.27184269575890935</v>
      </c>
      <c r="H12" s="307">
        <f t="shared" si="0"/>
        <v>0.44934009810035908</v>
      </c>
      <c r="I12" s="313">
        <v>5932.7</v>
      </c>
      <c r="J12" s="129">
        <v>65098.1</v>
      </c>
      <c r="K12" s="307">
        <f>I12/$I$14</f>
        <v>0.21892043483715748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15</v>
      </c>
      <c r="E13" s="129">
        <v>428.05</v>
      </c>
      <c r="F13" s="129">
        <v>4687.3589400000001</v>
      </c>
      <c r="G13" s="307">
        <f>E13/$E$14</f>
        <v>1.3532856419096488E-2</v>
      </c>
      <c r="H13" s="307">
        <f t="shared" si="0"/>
        <v>0.14528121663888535</v>
      </c>
      <c r="I13" s="313">
        <v>373.75099999999998</v>
      </c>
      <c r="J13" s="129">
        <v>4101.08655</v>
      </c>
      <c r="K13" s="307">
        <f>I13/$I$14</f>
        <v>1.3791651598904789E-2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181059</v>
      </c>
      <c r="E14" s="319">
        <v>31630.424999999999</v>
      </c>
      <c r="F14" s="319">
        <v>346368.74312</v>
      </c>
      <c r="G14" s="320">
        <f>SUM(G9:G13)</f>
        <v>1</v>
      </c>
      <c r="H14" s="320">
        <f>(E14-I14)/I14</f>
        <v>0.16718296813998629</v>
      </c>
      <c r="I14" s="321">
        <v>27099.8</v>
      </c>
      <c r="J14" s="319">
        <v>297359.37287000008</v>
      </c>
      <c r="K14" s="320">
        <f>SUM(K9:K13)</f>
        <v>1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120</v>
      </c>
      <c r="E15" s="308">
        <v>20060.830999999998</v>
      </c>
      <c r="F15" s="308">
        <v>218964.42822</v>
      </c>
      <c r="G15" s="309">
        <f>E15/$E$20</f>
        <v>0.39536053968616847</v>
      </c>
      <c r="H15" s="309">
        <f>(E15-I15)/I15</f>
        <v>8.1943525858268973E-2</v>
      </c>
      <c r="I15" s="312">
        <v>18541.476999999999</v>
      </c>
      <c r="J15" s="308">
        <v>202669.11781999996</v>
      </c>
      <c r="K15" s="309">
        <f>I15/$I$20</f>
        <v>0.40918308932898434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341</v>
      </c>
      <c r="E16" s="129">
        <v>4582.8159999999998</v>
      </c>
      <c r="F16" s="129">
        <v>50021.700349999999</v>
      </c>
      <c r="G16" s="307">
        <f>E16/$E$20</f>
        <v>9.0318522051375028E-2</v>
      </c>
      <c r="H16" s="307">
        <f>(E16-I16)/I16</f>
        <v>9.8457687187533283E-2</v>
      </c>
      <c r="I16" s="313">
        <v>4172.0460000000003</v>
      </c>
      <c r="J16" s="129">
        <v>45603.283229999979</v>
      </c>
      <c r="K16" s="307">
        <f>I16/$I$20</f>
        <v>9.2070910591568939E-2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12955</v>
      </c>
      <c r="E17" s="129">
        <v>9002.9</v>
      </c>
      <c r="F17" s="129">
        <v>98267.3</v>
      </c>
      <c r="G17" s="307">
        <f>E17/$E$20</f>
        <v>0.17742990819974536</v>
      </c>
      <c r="H17" s="307">
        <f t="shared" ref="H17:H20" si="1">(E17-I17)/I17</f>
        <v>0.17024125201476628</v>
      </c>
      <c r="I17" s="313">
        <v>7693.2</v>
      </c>
      <c r="J17" s="129">
        <v>84091.199999999997</v>
      </c>
      <c r="K17" s="307">
        <f>I17/$I$20</f>
        <v>0.1697775933829728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167538</v>
      </c>
      <c r="E18" s="129">
        <v>16672.599999999999</v>
      </c>
      <c r="F18" s="129">
        <v>181982.4</v>
      </c>
      <c r="G18" s="307">
        <f>E18/$E$20</f>
        <v>0.32858499899488769</v>
      </c>
      <c r="H18" s="307">
        <f t="shared" si="1"/>
        <v>0.14752360763152808</v>
      </c>
      <c r="I18" s="313">
        <v>14529.2</v>
      </c>
      <c r="J18" s="129">
        <v>158812.1</v>
      </c>
      <c r="K18" s="307">
        <f>I18/$I$20</f>
        <v>0.32063804525813555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15</v>
      </c>
      <c r="E19" s="129">
        <v>421.45299999999997</v>
      </c>
      <c r="F19" s="129">
        <v>4600.1752200000001</v>
      </c>
      <c r="G19" s="307">
        <f>E19/$E$20</f>
        <v>8.3060310678233999E-3</v>
      </c>
      <c r="H19" s="307">
        <f t="shared" si="1"/>
        <v>0.11649981323365398</v>
      </c>
      <c r="I19" s="313">
        <v>377.47699999999998</v>
      </c>
      <c r="J19" s="129">
        <v>4126.0338499999998</v>
      </c>
      <c r="K19" s="307">
        <f>I19/$I$20</f>
        <v>8.3303614383383271E-3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180969</v>
      </c>
      <c r="E20" s="319">
        <v>50740.6</v>
      </c>
      <c r="F20" s="319">
        <v>553836.00378999999</v>
      </c>
      <c r="G20" s="320">
        <f>SUM(G15:G19)</f>
        <v>0.99999999999999989</v>
      </c>
      <c r="H20" s="320">
        <f t="shared" si="1"/>
        <v>0.11977031076899983</v>
      </c>
      <c r="I20" s="321">
        <v>45313.4</v>
      </c>
      <c r="J20" s="319">
        <v>495301.73489999992</v>
      </c>
      <c r="K20" s="320">
        <f>SUM(K15:K19)</f>
        <v>1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120</v>
      </c>
      <c r="E21" s="308">
        <v>21441.239000000001</v>
      </c>
      <c r="F21" s="308">
        <v>233420.70027</v>
      </c>
      <c r="G21" s="309">
        <f>E21/$E$26</f>
        <v>0.36403586157249657</v>
      </c>
      <c r="H21" s="309">
        <f>(E21-I21)/I21</f>
        <v>0.16910273823590199</v>
      </c>
      <c r="I21" s="312">
        <v>18339.91</v>
      </c>
      <c r="J21" s="308">
        <v>200005.48056000008</v>
      </c>
      <c r="K21" s="309">
        <f>I21/$I$26</f>
        <v>0.33981044746603833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342</v>
      </c>
      <c r="E22" s="129">
        <v>5146.4669999999996</v>
      </c>
      <c r="F22" s="129">
        <v>56026.659370000001</v>
      </c>
      <c r="G22" s="307">
        <f>E22/$E$26</f>
        <v>8.7378278298162776E-2</v>
      </c>
      <c r="H22" s="307">
        <f t="shared" ref="H22:H26" si="2">(E22-I22)/I22</f>
        <v>5.0657683467158647E-2</v>
      </c>
      <c r="I22" s="313">
        <v>4898.3289999999961</v>
      </c>
      <c r="J22" s="129">
        <v>53419.089969999972</v>
      </c>
      <c r="K22" s="307">
        <f>I22/$I$26</f>
        <v>9.0758535310471566E-2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12953</v>
      </c>
      <c r="E23" s="129">
        <v>10916.9</v>
      </c>
      <c r="F23" s="129">
        <v>118847.2</v>
      </c>
      <c r="G23" s="307">
        <f>E23/$E$26</f>
        <v>0.18535044067186543</v>
      </c>
      <c r="H23" s="307">
        <f t="shared" si="2"/>
        <v>5.7460019179170152E-2</v>
      </c>
      <c r="I23" s="313">
        <v>10323.700000000001</v>
      </c>
      <c r="J23" s="129">
        <v>112585.29999999996</v>
      </c>
      <c r="K23" s="307">
        <f>I23/$I$26</f>
        <v>0.19128235179480924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167695</v>
      </c>
      <c r="E24" s="129">
        <v>21002.5</v>
      </c>
      <c r="F24" s="129">
        <v>228644.1</v>
      </c>
      <c r="G24" s="307">
        <f>E24/$E$26</f>
        <v>0.35658681770565398</v>
      </c>
      <c r="H24" s="307">
        <f t="shared" si="2"/>
        <v>4.7955731635514406E-2</v>
      </c>
      <c r="I24" s="313">
        <v>20041.400000000001</v>
      </c>
      <c r="J24" s="129">
        <v>218561.79999999996</v>
      </c>
      <c r="K24" s="307">
        <f>I24/$I$26</f>
        <v>0.37133645158814088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15</v>
      </c>
      <c r="E25" s="129">
        <v>391.59399999999999</v>
      </c>
      <c r="F25" s="129">
        <v>4263.0972899999997</v>
      </c>
      <c r="G25" s="307">
        <f>E25/$E$26</f>
        <v>6.6486017518213479E-3</v>
      </c>
      <c r="H25" s="307">
        <f t="shared" si="2"/>
        <v>6.5092394645081667E-2</v>
      </c>
      <c r="I25" s="313">
        <v>367.66199999999998</v>
      </c>
      <c r="J25" s="129">
        <v>4009.5303400000007</v>
      </c>
      <c r="K25" s="307">
        <f>I25/$I$26</f>
        <v>6.8122138405400335E-3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181125</v>
      </c>
      <c r="E26" s="319">
        <v>58898.7</v>
      </c>
      <c r="F26" s="319">
        <v>641201.75692999992</v>
      </c>
      <c r="G26" s="320">
        <f>SUM(G21:G25)</f>
        <v>1</v>
      </c>
      <c r="H26" s="320">
        <f t="shared" si="2"/>
        <v>9.1302716434701683E-2</v>
      </c>
      <c r="I26" s="321">
        <v>53971.000999999997</v>
      </c>
      <c r="J26" s="319">
        <v>588581.20087000006</v>
      </c>
      <c r="K26" s="320">
        <f>SUM(K21:K25)</f>
        <v>1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120</v>
      </c>
      <c r="E27" s="308">
        <f>E9+E15+E21</f>
        <v>56431.157999999996</v>
      </c>
      <c r="F27" s="308">
        <f>F9+F15+F21</f>
        <v>615865.70042999997</v>
      </c>
      <c r="G27" s="309">
        <f>E27/$E$32</f>
        <v>0.39945684045183777</v>
      </c>
      <c r="H27" s="309">
        <f>(E27-I27)/I27</f>
        <v>8.3848469300482731E-2</v>
      </c>
      <c r="I27" s="312">
        <f>I9+I15+I21</f>
        <v>52065.542000000001</v>
      </c>
      <c r="J27" s="308">
        <f>J9+J15+J21</f>
        <v>569286.75965000014</v>
      </c>
      <c r="K27" s="309">
        <f>I27/$I$32</f>
        <v>0.41196242558830592</v>
      </c>
    </row>
    <row r="28" spans="1:20" ht="11.15" customHeight="1">
      <c r="A28" s="423"/>
      <c r="B28" s="423"/>
      <c r="C28" s="154" t="s">
        <v>5</v>
      </c>
      <c r="D28" s="313">
        <f>D22</f>
        <v>342</v>
      </c>
      <c r="E28" s="129">
        <f t="shared" ref="E28:F31" si="3">E10+E16+E22</f>
        <v>12562.044999999998</v>
      </c>
      <c r="F28" s="129">
        <f t="shared" si="3"/>
        <v>137068.55895999999</v>
      </c>
      <c r="G28" s="307">
        <f>E28/$E$32</f>
        <v>8.8922414197380215E-2</v>
      </c>
      <c r="H28" s="307">
        <f t="shared" ref="H28:H31" si="4">(E28-I28)/I28</f>
        <v>0.10164686056762946</v>
      </c>
      <c r="I28" s="313">
        <f t="shared" ref="I28:J28" si="5">I10+I16+I22</f>
        <v>11402.968999999997</v>
      </c>
      <c r="J28" s="129">
        <f t="shared" si="5"/>
        <v>124616.99824999995</v>
      </c>
      <c r="K28" s="307">
        <f>I28/$I$32</f>
        <v>9.0224639707933096E-2</v>
      </c>
    </row>
    <row r="29" spans="1:20" ht="11.15" customHeight="1">
      <c r="A29" s="423"/>
      <c r="B29" s="423"/>
      <c r="C29" s="154" t="s">
        <v>6</v>
      </c>
      <c r="D29" s="313">
        <f>D23</f>
        <v>12953</v>
      </c>
      <c r="E29" s="129">
        <f t="shared" si="3"/>
        <v>24761.824999999997</v>
      </c>
      <c r="F29" s="129">
        <f t="shared" si="3"/>
        <v>270136.81300000002</v>
      </c>
      <c r="G29" s="307">
        <f>E29/$E$32</f>
        <v>0.17528047853140505</v>
      </c>
      <c r="H29" s="307">
        <f t="shared" si="4"/>
        <v>0.16288186535797294</v>
      </c>
      <c r="I29" s="313">
        <f t="shared" ref="I29:J29" si="6">I11+I17+I23</f>
        <v>21293.5</v>
      </c>
      <c r="J29" s="129">
        <f t="shared" si="6"/>
        <v>232629.89999999997</v>
      </c>
      <c r="K29" s="307">
        <f>I29/$I$32</f>
        <v>0.16848229313092702</v>
      </c>
    </row>
    <row r="30" spans="1:20" ht="11.15" customHeight="1">
      <c r="A30" s="423"/>
      <c r="B30" s="423"/>
      <c r="C30" s="154" t="s">
        <v>7</v>
      </c>
      <c r="D30" s="313">
        <f>D24</f>
        <v>167695</v>
      </c>
      <c r="E30" s="129">
        <f t="shared" si="3"/>
        <v>46273.599999999999</v>
      </c>
      <c r="F30" s="129">
        <f t="shared" si="3"/>
        <v>504784.80000000005</v>
      </c>
      <c r="G30" s="307">
        <f>E30/$E$32</f>
        <v>0.32755496621799185</v>
      </c>
      <c r="H30" s="307">
        <f t="shared" si="4"/>
        <v>0.14246493495591706</v>
      </c>
      <c r="I30" s="313">
        <f t="shared" ref="I30:J30" si="7">I12+I18+I24</f>
        <v>40503.300000000003</v>
      </c>
      <c r="J30" s="129">
        <f t="shared" si="7"/>
        <v>442472</v>
      </c>
      <c r="K30" s="307">
        <f>I30/$I$32</f>
        <v>0.32047755715922122</v>
      </c>
    </row>
    <row r="31" spans="1:20" ht="11.15" customHeight="1">
      <c r="A31" s="423"/>
      <c r="B31" s="423"/>
      <c r="C31" s="154" t="s">
        <v>92</v>
      </c>
      <c r="D31" s="313">
        <f>D25</f>
        <v>15</v>
      </c>
      <c r="E31" s="129">
        <f>E13+E19+E25</f>
        <v>1241.097</v>
      </c>
      <c r="F31" s="129">
        <f t="shared" si="3"/>
        <v>13550.631449999999</v>
      </c>
      <c r="G31" s="307">
        <f>E31/$E$32</f>
        <v>8.7853006013850453E-3</v>
      </c>
      <c r="H31" s="307">
        <f t="shared" si="4"/>
        <v>0.10922163930323814</v>
      </c>
      <c r="I31" s="313">
        <f>I13+I19+I25</f>
        <v>1118.8899999999999</v>
      </c>
      <c r="J31" s="129">
        <f t="shared" ref="J31" si="8">J13+J19+J25</f>
        <v>12236.650740000001</v>
      </c>
      <c r="K31" s="307">
        <f>I31/$I$32</f>
        <v>8.8530844136127419E-3</v>
      </c>
    </row>
    <row r="32" spans="1:20" ht="11.15" customHeight="1">
      <c r="A32" s="424"/>
      <c r="B32" s="424"/>
      <c r="C32" s="318" t="s">
        <v>0</v>
      </c>
      <c r="D32" s="321">
        <f>SUM(D27:D31)</f>
        <v>181125</v>
      </c>
      <c r="E32" s="319">
        <f>SUM(E27:E31)</f>
        <v>141269.72500000001</v>
      </c>
      <c r="F32" s="319">
        <f>SUM(F27:F31)</f>
        <v>1541406.5038400001</v>
      </c>
      <c r="G32" s="320">
        <f>SUM(G27:G31)</f>
        <v>1</v>
      </c>
      <c r="H32" s="320">
        <f>(E32-I32)/I32</f>
        <v>0.11777994308006905</v>
      </c>
      <c r="I32" s="321">
        <f>SUM(I27:I31)</f>
        <v>126384.201</v>
      </c>
      <c r="J32" s="319">
        <f>SUM(J27:J31)</f>
        <v>1381242.3086399999</v>
      </c>
      <c r="K32" s="320">
        <f>SUM(K27:K31)</f>
        <v>1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42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82</v>
      </c>
      <c r="E39" s="308">
        <v>9350.7080000000005</v>
      </c>
      <c r="F39" s="308">
        <v>102395.00109999999</v>
      </c>
      <c r="G39" s="309">
        <f>E39/$E$44</f>
        <v>0.40398109425223799</v>
      </c>
      <c r="H39" s="309">
        <f>(E39-I39)/I39</f>
        <v>9.2212808618740691E-2</v>
      </c>
      <c r="I39" s="312">
        <v>8561.2509999999984</v>
      </c>
      <c r="J39" s="308">
        <v>93941.054620000024</v>
      </c>
      <c r="K39" s="309">
        <f>I39/$I$44</f>
        <v>0.45939316376904915</v>
      </c>
    </row>
    <row r="40" spans="1:11" ht="11.15" customHeight="1">
      <c r="A40" s="423"/>
      <c r="B40" s="423"/>
      <c r="C40" s="154" t="s">
        <v>5</v>
      </c>
      <c r="D40" s="313">
        <v>256</v>
      </c>
      <c r="E40" s="129">
        <v>2742.826</v>
      </c>
      <c r="F40" s="129">
        <v>30035.760699999999</v>
      </c>
      <c r="G40" s="307">
        <f t="shared" ref="G40" si="9">E40/$E$44</f>
        <v>0.1184990322469153</v>
      </c>
      <c r="H40" s="307">
        <f>(E40-I40)/I40</f>
        <v>0.13813985526490502</v>
      </c>
      <c r="I40" s="313">
        <v>2409.92</v>
      </c>
      <c r="J40" s="129">
        <v>26443.894570000011</v>
      </c>
      <c r="K40" s="307">
        <f t="shared" ref="K40:K43" si="10">I40/$I$44</f>
        <v>0.12931530371324321</v>
      </c>
    </row>
    <row r="41" spans="1:11" ht="11.15" customHeight="1">
      <c r="A41" s="423"/>
      <c r="B41" s="423"/>
      <c r="C41" s="154" t="s">
        <v>6</v>
      </c>
      <c r="D41" s="313">
        <v>11082</v>
      </c>
      <c r="E41" s="129">
        <v>3966.27</v>
      </c>
      <c r="F41" s="129">
        <v>43432.612609999996</v>
      </c>
      <c r="G41" s="307">
        <f>E41/$E$44</f>
        <v>0.17135580479037779</v>
      </c>
      <c r="H41" s="307">
        <f t="shared" ref="H41:H43" si="11">(E41-I41)/I41</f>
        <v>0.47970027476678401</v>
      </c>
      <c r="I41" s="313">
        <v>2680.4549999999999</v>
      </c>
      <c r="J41" s="129">
        <v>29412.31509</v>
      </c>
      <c r="K41" s="307">
        <f t="shared" si="10"/>
        <v>0.14383209916291051</v>
      </c>
    </row>
    <row r="42" spans="1:11" ht="11.15" customHeight="1">
      <c r="A42" s="423"/>
      <c r="B42" s="423"/>
      <c r="C42" s="154" t="s">
        <v>7</v>
      </c>
      <c r="D42" s="313">
        <v>121041</v>
      </c>
      <c r="E42" s="129">
        <v>6854.8</v>
      </c>
      <c r="F42" s="129">
        <v>75063.100000000006</v>
      </c>
      <c r="G42" s="307">
        <f>E42/$E$44</f>
        <v>0.29614972522724919</v>
      </c>
      <c r="H42" s="307">
        <f t="shared" si="11"/>
        <v>0.44937096944708749</v>
      </c>
      <c r="I42" s="313">
        <v>4729.5</v>
      </c>
      <c r="J42" s="129">
        <v>51896.2</v>
      </c>
      <c r="K42" s="307">
        <f t="shared" si="10"/>
        <v>0.25378300064391507</v>
      </c>
    </row>
    <row r="43" spans="1:11" ht="11.15" customHeight="1">
      <c r="A43" s="423"/>
      <c r="B43" s="423"/>
      <c r="C43" s="154" t="s">
        <v>92</v>
      </c>
      <c r="D43" s="313">
        <v>15</v>
      </c>
      <c r="E43" s="129">
        <v>231.79599999999999</v>
      </c>
      <c r="F43" s="129">
        <v>2538.2847400000001</v>
      </c>
      <c r="G43" s="307">
        <f>E43/$E$44</f>
        <v>1.0014343483219853E-2</v>
      </c>
      <c r="H43" s="307">
        <f t="shared" si="11"/>
        <v>-9.0546701507411523E-2</v>
      </c>
      <c r="I43" s="313">
        <v>254.874</v>
      </c>
      <c r="J43" s="129">
        <v>2796.68732</v>
      </c>
      <c r="K43" s="307">
        <f t="shared" si="10"/>
        <v>1.3676432710882166E-2</v>
      </c>
    </row>
    <row r="44" spans="1:11" ht="11.15" customHeight="1">
      <c r="A44" s="424"/>
      <c r="B44" s="424"/>
      <c r="C44" s="318" t="s">
        <v>0</v>
      </c>
      <c r="D44" s="321">
        <v>132476</v>
      </c>
      <c r="E44" s="319">
        <v>23146.399999999998</v>
      </c>
      <c r="F44" s="319">
        <v>253464.75915</v>
      </c>
      <c r="G44" s="320">
        <f>SUM(G39:G43)</f>
        <v>1.0000000000000002</v>
      </c>
      <c r="H44" s="320">
        <f>(E44-I44)/I44</f>
        <v>0.24202618587679772</v>
      </c>
      <c r="I44" s="321">
        <v>18635.999999999996</v>
      </c>
      <c r="J44" s="319">
        <v>204490.15160000001</v>
      </c>
      <c r="K44" s="320">
        <f>SUM(K39:K43)</f>
        <v>1.0000000000000002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82</v>
      </c>
      <c r="E45" s="308">
        <v>11278.849</v>
      </c>
      <c r="F45" s="308">
        <v>123109.27714999999</v>
      </c>
      <c r="G45" s="309">
        <f>E45/$E$50</f>
        <v>0.31229507697419429</v>
      </c>
      <c r="H45" s="309">
        <f>(E45-I45)/I45</f>
        <v>8.6751151563106088E-2</v>
      </c>
      <c r="I45" s="312">
        <v>10378.502</v>
      </c>
      <c r="J45" s="308">
        <v>113443.11613000007</v>
      </c>
      <c r="K45" s="309">
        <f>I45/$I$50</f>
        <v>0.32045469141749106</v>
      </c>
    </row>
    <row r="46" spans="1:11" ht="11.15" customHeight="1">
      <c r="A46" s="423"/>
      <c r="B46" s="423"/>
      <c r="C46" s="154" t="s">
        <v>5</v>
      </c>
      <c r="D46" s="313">
        <v>255</v>
      </c>
      <c r="E46" s="129">
        <v>3948.038</v>
      </c>
      <c r="F46" s="129">
        <v>43093.141969999997</v>
      </c>
      <c r="G46" s="307">
        <f t="shared" ref="G46:G49" si="12">E46/$E$50</f>
        <v>0.10931548344224166</v>
      </c>
      <c r="H46" s="307">
        <f>(E46-I46)/I46</f>
        <v>2.474842253075123E-2</v>
      </c>
      <c r="I46" s="313">
        <v>3852.69</v>
      </c>
      <c r="J46" s="129">
        <v>42111.729000000007</v>
      </c>
      <c r="K46" s="307">
        <f t="shared" ref="K46:K49" si="13">I46/$I$50</f>
        <v>0.11895864982029715</v>
      </c>
    </row>
    <row r="47" spans="1:11" ht="11.15" customHeight="1">
      <c r="A47" s="423"/>
      <c r="B47" s="423"/>
      <c r="C47" s="154" t="s">
        <v>6</v>
      </c>
      <c r="D47" s="313">
        <v>11082</v>
      </c>
      <c r="E47" s="129">
        <v>7368.1869999999999</v>
      </c>
      <c r="F47" s="129">
        <v>80423.677299999996</v>
      </c>
      <c r="G47" s="307">
        <f t="shared" si="12"/>
        <v>0.20401448111640269</v>
      </c>
      <c r="H47" s="307">
        <f t="shared" ref="H47:H49" si="14">(E47-I47)/I47</f>
        <v>0.17020156083265786</v>
      </c>
      <c r="I47" s="313">
        <v>6296.5110000000004</v>
      </c>
      <c r="J47" s="129">
        <v>68824.80085</v>
      </c>
      <c r="K47" s="307">
        <f t="shared" si="13"/>
        <v>0.19441596576382969</v>
      </c>
    </row>
    <row r="48" spans="1:11" ht="11.15" customHeight="1">
      <c r="A48" s="423"/>
      <c r="B48" s="423"/>
      <c r="C48" s="154" t="s">
        <v>7</v>
      </c>
      <c r="D48" s="313">
        <v>120976</v>
      </c>
      <c r="E48" s="129">
        <v>13291.4</v>
      </c>
      <c r="F48" s="129">
        <v>145076.6</v>
      </c>
      <c r="G48" s="307">
        <f t="shared" si="12"/>
        <v>0.36801971425407021</v>
      </c>
      <c r="H48" s="307">
        <f t="shared" si="14"/>
        <v>0.14752173500133811</v>
      </c>
      <c r="I48" s="313">
        <v>11582.7</v>
      </c>
      <c r="J48" s="129">
        <v>126605.1</v>
      </c>
      <c r="K48" s="307">
        <f t="shared" si="13"/>
        <v>0.35763644447737969</v>
      </c>
    </row>
    <row r="49" spans="1:11" ht="11.15" customHeight="1">
      <c r="A49" s="423"/>
      <c r="B49" s="423"/>
      <c r="C49" s="154" t="s">
        <v>92</v>
      </c>
      <c r="D49" s="313">
        <v>15</v>
      </c>
      <c r="E49" s="129">
        <v>229.52600000000001</v>
      </c>
      <c r="F49" s="129">
        <v>2505.2957500000002</v>
      </c>
      <c r="G49" s="307">
        <f t="shared" si="12"/>
        <v>6.355244213091151E-3</v>
      </c>
      <c r="H49" s="307">
        <f t="shared" si="14"/>
        <v>-0.1695785410116607</v>
      </c>
      <c r="I49" s="313">
        <v>276.39699999999999</v>
      </c>
      <c r="J49" s="129">
        <v>3021.18003</v>
      </c>
      <c r="K49" s="307">
        <f t="shared" si="13"/>
        <v>8.5342485210023831E-3</v>
      </c>
    </row>
    <row r="50" spans="1:11" ht="11.15" customHeight="1">
      <c r="A50" s="424"/>
      <c r="B50" s="424"/>
      <c r="C50" s="318" t="s">
        <v>0</v>
      </c>
      <c r="D50" s="321">
        <v>132410</v>
      </c>
      <c r="E50" s="319">
        <v>36116</v>
      </c>
      <c r="F50" s="319">
        <v>394207.99216999992</v>
      </c>
      <c r="G50" s="320">
        <f>SUM(G45:G49)</f>
        <v>1</v>
      </c>
      <c r="H50" s="320">
        <f t="shared" ref="H50" si="15">(E50-I50)/I50</f>
        <v>0.11514567663369017</v>
      </c>
      <c r="I50" s="321">
        <v>32386.800000000003</v>
      </c>
      <c r="J50" s="319">
        <v>354005.92601000011</v>
      </c>
      <c r="K50" s="320">
        <f>SUM(K45:K49)</f>
        <v>0.99999999999999989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82</v>
      </c>
      <c r="E51" s="308">
        <v>10363.08</v>
      </c>
      <c r="F51" s="308">
        <v>112817.56461</v>
      </c>
      <c r="G51" s="309">
        <f>E51/$E$56</f>
        <v>0.25736871515317084</v>
      </c>
      <c r="H51" s="309">
        <f>(E51-I51)/I51</f>
        <v>-1.9363332023052137E-2</v>
      </c>
      <c r="I51" s="312">
        <v>10567.706</v>
      </c>
      <c r="J51" s="308">
        <v>115245.59368999999</v>
      </c>
      <c r="K51" s="309">
        <f>I51/$I$56</f>
        <v>0.26799618586793056</v>
      </c>
    </row>
    <row r="52" spans="1:11" ht="11.15" customHeight="1">
      <c r="A52" s="423"/>
      <c r="B52" s="423"/>
      <c r="C52" s="154" t="s">
        <v>5</v>
      </c>
      <c r="D52" s="313">
        <v>253</v>
      </c>
      <c r="E52" s="129">
        <v>4019.761</v>
      </c>
      <c r="F52" s="129">
        <v>43761.206250000003</v>
      </c>
      <c r="G52" s="307">
        <f t="shared" ref="G52:G55" si="16">E52/$E$56</f>
        <v>9.9831394121518424E-2</v>
      </c>
      <c r="H52" s="307">
        <f t="shared" ref="H52:H55" si="17">(E52-I52)/I52</f>
        <v>-4.3717780056285974E-2</v>
      </c>
      <c r="I52" s="313">
        <v>4203.53</v>
      </c>
      <c r="J52" s="129">
        <v>45841.532899999991</v>
      </c>
      <c r="K52" s="307">
        <f t="shared" ref="K52:K55" si="18">I52/$I$56</f>
        <v>0.10660118735148592</v>
      </c>
    </row>
    <row r="53" spans="1:11" ht="11.15" customHeight="1">
      <c r="A53" s="423"/>
      <c r="B53" s="423"/>
      <c r="C53" s="154" t="s">
        <v>6</v>
      </c>
      <c r="D53" s="313">
        <v>11088</v>
      </c>
      <c r="E53" s="129">
        <v>8940.64</v>
      </c>
      <c r="F53" s="129">
        <v>97332.621849999996</v>
      </c>
      <c r="G53" s="307">
        <f t="shared" si="16"/>
        <v>0.22204219493114452</v>
      </c>
      <c r="H53" s="307">
        <f t="shared" si="17"/>
        <v>5.7364793242621705E-2</v>
      </c>
      <c r="I53" s="313">
        <v>8455.5869999999995</v>
      </c>
      <c r="J53" s="129">
        <v>92212.07500999987</v>
      </c>
      <c r="K53" s="307">
        <f t="shared" si="18"/>
        <v>0.21443301557352723</v>
      </c>
    </row>
    <row r="54" spans="1:11" ht="11.15" customHeight="1">
      <c r="A54" s="423"/>
      <c r="B54" s="423"/>
      <c r="C54" s="154" t="s">
        <v>7</v>
      </c>
      <c r="D54" s="313">
        <v>120936</v>
      </c>
      <c r="E54" s="129">
        <v>16743.2</v>
      </c>
      <c r="F54" s="129">
        <v>182275.3</v>
      </c>
      <c r="G54" s="307">
        <f t="shared" si="16"/>
        <v>0.41581999478461712</v>
      </c>
      <c r="H54" s="307">
        <f t="shared" si="17"/>
        <v>4.7943319229902248E-2</v>
      </c>
      <c r="I54" s="313">
        <v>15977.200000000006</v>
      </c>
      <c r="J54" s="129">
        <v>174237.69999999995</v>
      </c>
      <c r="K54" s="307">
        <f t="shared" si="18"/>
        <v>0.40518052459531911</v>
      </c>
    </row>
    <row r="55" spans="1:11" ht="11.15" customHeight="1">
      <c r="A55" s="423"/>
      <c r="B55" s="423"/>
      <c r="C55" s="154" t="s">
        <v>92</v>
      </c>
      <c r="D55" s="313">
        <v>15</v>
      </c>
      <c r="E55" s="129">
        <v>198.81899999999999</v>
      </c>
      <c r="F55" s="129">
        <v>2164.4505300000001</v>
      </c>
      <c r="G55" s="307">
        <f t="shared" si="16"/>
        <v>4.9377010095491176E-3</v>
      </c>
      <c r="H55" s="307">
        <f t="shared" si="17"/>
        <v>-0.12904497605978701</v>
      </c>
      <c r="I55" s="313">
        <v>228.27699999999999</v>
      </c>
      <c r="J55" s="129">
        <v>2489.4623600000004</v>
      </c>
      <c r="K55" s="307">
        <f t="shared" si="18"/>
        <v>5.7890866117370765E-3</v>
      </c>
    </row>
    <row r="56" spans="1:11" ht="11.15" customHeight="1">
      <c r="A56" s="424"/>
      <c r="B56" s="424"/>
      <c r="C56" s="318" t="s">
        <v>0</v>
      </c>
      <c r="D56" s="321">
        <v>132374</v>
      </c>
      <c r="E56" s="319">
        <v>40265.5</v>
      </c>
      <c r="F56" s="319">
        <v>438351.14323999995</v>
      </c>
      <c r="G56" s="320">
        <f>SUM(G51:G55)</f>
        <v>1</v>
      </c>
      <c r="H56" s="320">
        <f t="shared" ref="H56" si="19">(E56-I56)/I56</f>
        <v>2.1129885905716624E-2</v>
      </c>
      <c r="I56" s="321">
        <v>39432.30000000001</v>
      </c>
      <c r="J56" s="319">
        <v>430026.36395999981</v>
      </c>
      <c r="K56" s="320">
        <f>SUM(K51:K55)</f>
        <v>0.99999999999999989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82</v>
      </c>
      <c r="E57" s="308">
        <f>E39+E45+E51</f>
        <v>30992.637000000002</v>
      </c>
      <c r="F57" s="308">
        <f>F39+F45+F51</f>
        <v>338321.84285999998</v>
      </c>
      <c r="G57" s="309">
        <f>E57/$E$62</f>
        <v>0.31139647274784255</v>
      </c>
      <c r="H57" s="309">
        <f>(E57-I57)/I57</f>
        <v>5.033229055744879E-2</v>
      </c>
      <c r="I57" s="312">
        <f>I39+I45+I51</f>
        <v>29507.458999999995</v>
      </c>
      <c r="J57" s="308">
        <f>J39+J45+J51</f>
        <v>322629.76444000012</v>
      </c>
      <c r="K57" s="309">
        <f>I57/$I$62</f>
        <v>0.32621111468562852</v>
      </c>
    </row>
    <row r="58" spans="1:11" ht="11.15" customHeight="1">
      <c r="A58" s="423"/>
      <c r="B58" s="423"/>
      <c r="C58" s="154" t="s">
        <v>5</v>
      </c>
      <c r="D58" s="313">
        <f>D52</f>
        <v>253</v>
      </c>
      <c r="E58" s="129">
        <f t="shared" ref="E58:F59" si="20">E40+E46+E52</f>
        <v>10710.625</v>
      </c>
      <c r="F58" s="129">
        <f t="shared" si="20"/>
        <v>116890.10892</v>
      </c>
      <c r="G58" s="307">
        <f t="shared" ref="G58:G61" si="21">E58/$E$62</f>
        <v>0.10761429709659301</v>
      </c>
      <c r="H58" s="307">
        <f t="shared" ref="H58:H61" si="22">(E58-I58)/I58</f>
        <v>2.335961491055925E-2</v>
      </c>
      <c r="I58" s="313">
        <f t="shared" ref="I58:J58" si="23">I40+I46+I52</f>
        <v>10466.14</v>
      </c>
      <c r="J58" s="129">
        <f t="shared" si="23"/>
        <v>114397.15647000002</v>
      </c>
      <c r="K58" s="307">
        <f t="shared" ref="K58:K61" si="24">I58/$I$62</f>
        <v>0.11570536100230944</v>
      </c>
    </row>
    <row r="59" spans="1:11" ht="11.15" customHeight="1">
      <c r="A59" s="423"/>
      <c r="B59" s="423"/>
      <c r="C59" s="154" t="s">
        <v>6</v>
      </c>
      <c r="D59" s="313">
        <f>D53</f>
        <v>11088</v>
      </c>
      <c r="E59" s="129">
        <f>E41+E47+E53</f>
        <v>20275.097000000002</v>
      </c>
      <c r="F59" s="129">
        <f t="shared" si="20"/>
        <v>221188.91175999999</v>
      </c>
      <c r="G59" s="307">
        <f t="shared" si="21"/>
        <v>0.20371269764558481</v>
      </c>
      <c r="H59" s="307">
        <f t="shared" si="22"/>
        <v>0.16305953580063698</v>
      </c>
      <c r="I59" s="313">
        <f>I41+I47+I53</f>
        <v>17432.553</v>
      </c>
      <c r="J59" s="129">
        <f t="shared" ref="J59" si="25">J41+J47+J53</f>
        <v>190449.19094999987</v>
      </c>
      <c r="K59" s="307">
        <f t="shared" si="24"/>
        <v>0.19272050995466261</v>
      </c>
    </row>
    <row r="60" spans="1:11" ht="11.15" customHeight="1">
      <c r="A60" s="423"/>
      <c r="B60" s="423"/>
      <c r="C60" s="154" t="s">
        <v>7</v>
      </c>
      <c r="D60" s="313">
        <f>D54</f>
        <v>120936</v>
      </c>
      <c r="E60" s="129">
        <f t="shared" ref="E60:F61" si="26">E42+E48+E54</f>
        <v>36889.4</v>
      </c>
      <c r="F60" s="129">
        <f t="shared" si="26"/>
        <v>402415</v>
      </c>
      <c r="G60" s="307">
        <f t="shared" si="21"/>
        <v>0.37064380942429209</v>
      </c>
      <c r="H60" s="307">
        <f t="shared" si="22"/>
        <v>0.14246161278933617</v>
      </c>
      <c r="I60" s="313">
        <f t="shared" ref="I60:J60" si="27">I42+I48+I54</f>
        <v>32289.400000000009</v>
      </c>
      <c r="J60" s="129">
        <f t="shared" si="27"/>
        <v>352738.99999999994</v>
      </c>
      <c r="K60" s="307">
        <f t="shared" si="24"/>
        <v>0.35696605277093291</v>
      </c>
    </row>
    <row r="61" spans="1:11" ht="11.15" customHeight="1">
      <c r="A61" s="423"/>
      <c r="B61" s="423"/>
      <c r="C61" s="154" t="s">
        <v>92</v>
      </c>
      <c r="D61" s="313">
        <f>D55</f>
        <v>15</v>
      </c>
      <c r="E61" s="129">
        <f>E43+E49+E55</f>
        <v>660.14099999999996</v>
      </c>
      <c r="F61" s="129">
        <f t="shared" si="26"/>
        <v>7208.0310200000004</v>
      </c>
      <c r="G61" s="307">
        <f t="shared" si="21"/>
        <v>6.6327230856875301E-3</v>
      </c>
      <c r="H61" s="307">
        <f t="shared" si="22"/>
        <v>-0.13087652129950975</v>
      </c>
      <c r="I61" s="313">
        <f>I43+I49+I55</f>
        <v>759.548</v>
      </c>
      <c r="J61" s="129">
        <f t="shared" ref="J61" si="28">J43+J49+J55</f>
        <v>8307.3297100000018</v>
      </c>
      <c r="K61" s="307">
        <f t="shared" si="24"/>
        <v>8.3969615864666561E-3</v>
      </c>
    </row>
    <row r="62" spans="1:11" ht="11.15" customHeight="1">
      <c r="A62" s="424"/>
      <c r="B62" s="424"/>
      <c r="C62" s="318" t="s">
        <v>0</v>
      </c>
      <c r="D62" s="321">
        <f>SUM(D57:D61)</f>
        <v>132374</v>
      </c>
      <c r="E62" s="319">
        <f>SUM(E57:E61)</f>
        <v>99527.900000000009</v>
      </c>
      <c r="F62" s="319">
        <f>SUM(F57:F61)</f>
        <v>1086023.8945600002</v>
      </c>
      <c r="G62" s="320">
        <f>SUM(G57:G61)</f>
        <v>1</v>
      </c>
      <c r="H62" s="320">
        <f>(E62-I62)/I62</f>
        <v>0.10030169664286501</v>
      </c>
      <c r="I62" s="321">
        <f>SUM(I57:I61)</f>
        <v>90455.099999999991</v>
      </c>
      <c r="J62" s="319">
        <f>SUM(J57:J61)</f>
        <v>988522.44156999979</v>
      </c>
      <c r="K62" s="320">
        <f>SUM(K57:K61)</f>
        <v>1.0000000000000002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7"/>
  <dimension ref="A1:T120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303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43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84</v>
      </c>
      <c r="E9" s="308">
        <v>12040.082</v>
      </c>
      <c r="F9" s="308">
        <v>131844.43621000001</v>
      </c>
      <c r="G9" s="309">
        <f>E9/$E$14</f>
        <v>0.47303751664852844</v>
      </c>
      <c r="H9" s="309">
        <f>(E9-I9)/I9</f>
        <v>9.1865233189176165E-2</v>
      </c>
      <c r="I9" s="312">
        <v>11027.076999999999</v>
      </c>
      <c r="J9" s="308">
        <v>120997.17795000004</v>
      </c>
      <c r="K9" s="309">
        <f>I9/$I$14</f>
        <v>0.53134857610947817</v>
      </c>
    </row>
    <row r="10" spans="1:16" ht="11.15" customHeight="1">
      <c r="A10" s="423"/>
      <c r="B10" s="423"/>
      <c r="C10" s="154" t="s">
        <v>5</v>
      </c>
      <c r="D10" s="313">
        <v>325</v>
      </c>
      <c r="E10" s="129">
        <v>2566.7370000000001</v>
      </c>
      <c r="F10" s="129">
        <v>28106.723050000001</v>
      </c>
      <c r="G10" s="307">
        <f>E10/$E$14</f>
        <v>0.10084340757562066</v>
      </c>
      <c r="H10" s="307">
        <f>(E10-I10)/I10</f>
        <v>0.14443929213167533</v>
      </c>
      <c r="I10" s="313">
        <v>2242.79</v>
      </c>
      <c r="J10" s="129">
        <v>24609.419279999998</v>
      </c>
      <c r="K10" s="307">
        <f>I10/$I$14</f>
        <v>0.1080706403893413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11623</v>
      </c>
      <c r="E11" s="129">
        <v>4342.4679999999998</v>
      </c>
      <c r="F11" s="129">
        <v>47552.072139999997</v>
      </c>
      <c r="G11" s="307">
        <f>E11/$E$14</f>
        <v>0.17060932631901526</v>
      </c>
      <c r="H11" s="307">
        <f t="shared" ref="H11:H13" si="0">(E11-I11)/I11</f>
        <v>0.4774736766178414</v>
      </c>
      <c r="I11" s="313">
        <v>2939.1169999999997</v>
      </c>
      <c r="J11" s="129">
        <v>32249.899789999999</v>
      </c>
      <c r="K11" s="307">
        <f>I11/$I$14</f>
        <v>0.14162371705295618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143108</v>
      </c>
      <c r="E12" s="129">
        <v>6336.5</v>
      </c>
      <c r="F12" s="129">
        <v>69387.600000000006</v>
      </c>
      <c r="G12" s="307">
        <f>E12/$E$14</f>
        <v>0.24895197758980384</v>
      </c>
      <c r="H12" s="307">
        <f t="shared" si="0"/>
        <v>0.44936983920034779</v>
      </c>
      <c r="I12" s="313">
        <v>4371.8999999999996</v>
      </c>
      <c r="J12" s="129">
        <v>47972.4</v>
      </c>
      <c r="K12" s="307">
        <f>I12/$I$14</f>
        <v>0.21066351852744181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15</v>
      </c>
      <c r="E13" s="129">
        <v>166.91300000000001</v>
      </c>
      <c r="F13" s="129">
        <v>1827.7783199999999</v>
      </c>
      <c r="G13" s="307">
        <f>E13/$E$14</f>
        <v>6.5577718670317888E-3</v>
      </c>
      <c r="H13" s="307">
        <f t="shared" si="0"/>
        <v>-3.0229612586860039E-2</v>
      </c>
      <c r="I13" s="313">
        <v>172.11600000000001</v>
      </c>
      <c r="J13" s="129">
        <v>1888.5827500000003</v>
      </c>
      <c r="K13" s="307">
        <f>I13/$I$14</f>
        <v>8.2935479207825388E-3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155155</v>
      </c>
      <c r="E14" s="319">
        <v>25452.7</v>
      </c>
      <c r="F14" s="319">
        <v>278718.60972000001</v>
      </c>
      <c r="G14" s="320">
        <f>SUM(G9:G13)</f>
        <v>1</v>
      </c>
      <c r="H14" s="320">
        <f>(E14-I14)/I14</f>
        <v>0.22645882523008726</v>
      </c>
      <c r="I14" s="321">
        <v>20753</v>
      </c>
      <c r="J14" s="319">
        <v>227717.47977000003</v>
      </c>
      <c r="K14" s="320">
        <f>SUM(K9:K13)</f>
        <v>1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84</v>
      </c>
      <c r="E15" s="308">
        <v>12646.754000000001</v>
      </c>
      <c r="F15" s="308">
        <v>138039.94183</v>
      </c>
      <c r="G15" s="309">
        <f>E15/$E$20</f>
        <v>0.33674390243902441</v>
      </c>
      <c r="H15" s="309">
        <f>(E15-I15)/I15</f>
        <v>6.0914202525892497E-2</v>
      </c>
      <c r="I15" s="312">
        <v>11920.618999999999</v>
      </c>
      <c r="J15" s="308">
        <v>130299.70079</v>
      </c>
      <c r="K15" s="309">
        <f>I15/$I$20</f>
        <v>0.35492398709001255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326</v>
      </c>
      <c r="E16" s="129">
        <v>4384.7219999999998</v>
      </c>
      <c r="F16" s="129">
        <v>47859.918890000001</v>
      </c>
      <c r="G16" s="307">
        <f>E16/$E$20</f>
        <v>0.11675157098732558</v>
      </c>
      <c r="H16" s="307">
        <f>(E16-I16)/I16</f>
        <v>0.12859080648523977</v>
      </c>
      <c r="I16" s="313">
        <v>3885.13</v>
      </c>
      <c r="J16" s="129">
        <v>42466.586860000003</v>
      </c>
      <c r="K16" s="307">
        <f>I16/$I$20</f>
        <v>0.11567569016030298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11622</v>
      </c>
      <c r="E17" s="129">
        <v>8093.0429999999997</v>
      </c>
      <c r="F17" s="129">
        <v>88335.542180000004</v>
      </c>
      <c r="G17" s="307">
        <f>E17/$E$20</f>
        <v>0.2154926776014485</v>
      </c>
      <c r="H17" s="307">
        <f t="shared" ref="H17:H20" si="1">(E17-I17)/I17</f>
        <v>0.17376554400763444</v>
      </c>
      <c r="I17" s="313">
        <v>6894.9400000000005</v>
      </c>
      <c r="J17" s="129">
        <v>75366.006789999999</v>
      </c>
      <c r="K17" s="307">
        <f>I17/$I$20</f>
        <v>0.20528964104518496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143031</v>
      </c>
      <c r="E18" s="129">
        <v>12286.5</v>
      </c>
      <c r="F18" s="129">
        <v>134107.5</v>
      </c>
      <c r="G18" s="307">
        <f>E18/$E$20</f>
        <v>0.32715145382894878</v>
      </c>
      <c r="H18" s="307">
        <f t="shared" si="1"/>
        <v>0.14753103139097221</v>
      </c>
      <c r="I18" s="313">
        <v>10706.9</v>
      </c>
      <c r="J18" s="129">
        <v>117032.7</v>
      </c>
      <c r="K18" s="307">
        <f>I18/$I$20</f>
        <v>0.31878677083581447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15</v>
      </c>
      <c r="E19" s="129">
        <v>144.98099999999999</v>
      </c>
      <c r="F19" s="129">
        <v>1582.4829500000001</v>
      </c>
      <c r="G19" s="307">
        <f>E19/$E$20</f>
        <v>3.8603951432527425E-3</v>
      </c>
      <c r="H19" s="307">
        <f t="shared" si="1"/>
        <v>-0.18919417709201342</v>
      </c>
      <c r="I19" s="313">
        <v>178.81100000000001</v>
      </c>
      <c r="J19" s="129">
        <v>1954.5044799999996</v>
      </c>
      <c r="K19" s="307">
        <f>I19/$I$20</f>
        <v>5.3239108686849437E-3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155078</v>
      </c>
      <c r="E20" s="319">
        <v>37556</v>
      </c>
      <c r="F20" s="319">
        <v>409925.38584999996</v>
      </c>
      <c r="G20" s="320">
        <f>SUM(G15:G19)</f>
        <v>1</v>
      </c>
      <c r="H20" s="320">
        <f t="shared" si="1"/>
        <v>0.11819069623418998</v>
      </c>
      <c r="I20" s="321">
        <v>33586.400000000001</v>
      </c>
      <c r="J20" s="319">
        <v>367119.49892000004</v>
      </c>
      <c r="K20" s="320">
        <f>SUM(K15:K19)</f>
        <v>0.99999999999999978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84</v>
      </c>
      <c r="E21" s="308">
        <v>12574.968999999999</v>
      </c>
      <c r="F21" s="308">
        <v>136897.45581000001</v>
      </c>
      <c r="G21" s="309">
        <f>E21/$E$26</f>
        <v>0.29313101998191088</v>
      </c>
      <c r="H21" s="309">
        <f>(E21-I21)/I21</f>
        <v>0.36119181161275449</v>
      </c>
      <c r="I21" s="312">
        <v>9238.2049999999945</v>
      </c>
      <c r="J21" s="308">
        <v>100748.28183999997</v>
      </c>
      <c r="K21" s="309">
        <f>I21/$I$26</f>
        <v>0.24257316682508731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325</v>
      </c>
      <c r="E22" s="129">
        <v>4906.6719999999996</v>
      </c>
      <c r="F22" s="129">
        <v>53416.815889999998</v>
      </c>
      <c r="G22" s="307">
        <f>E22/$E$26</f>
        <v>0.11437783807472468</v>
      </c>
      <c r="H22" s="307">
        <f t="shared" ref="H22:H26" si="2">(E22-I22)/I22</f>
        <v>5.1094490221511461E-2</v>
      </c>
      <c r="I22" s="313">
        <v>4668.1549999999997</v>
      </c>
      <c r="J22" s="129">
        <v>50908.120379999978</v>
      </c>
      <c r="K22" s="307">
        <f>I22/$I$26</f>
        <v>0.12257458473592717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11626</v>
      </c>
      <c r="E23" s="129">
        <v>9798.2150000000001</v>
      </c>
      <c r="F23" s="129">
        <v>106668.24546999999</v>
      </c>
      <c r="G23" s="307">
        <f>E23/$E$26</f>
        <v>0.22840300894197504</v>
      </c>
      <c r="H23" s="307">
        <f t="shared" si="2"/>
        <v>5.7753612940626399E-2</v>
      </c>
      <c r="I23" s="313">
        <v>9263.2300000000014</v>
      </c>
      <c r="J23" s="129">
        <v>101019.67170999995</v>
      </c>
      <c r="K23" s="307">
        <f>I23/$I$26</f>
        <v>0.24323026346884002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142984</v>
      </c>
      <c r="E24" s="129">
        <v>15477.3</v>
      </c>
      <c r="F24" s="129">
        <v>168493.7</v>
      </c>
      <c r="G24" s="307">
        <f>E24/$E$26</f>
        <v>0.36078631570113845</v>
      </c>
      <c r="H24" s="307">
        <f t="shared" si="2"/>
        <v>4.7944370717437471E-2</v>
      </c>
      <c r="I24" s="313">
        <v>14769.200000000021</v>
      </c>
      <c r="J24" s="129">
        <v>161063.80000000031</v>
      </c>
      <c r="K24" s="307">
        <f>I24/$I$26</f>
        <v>0.38780386617022317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15</v>
      </c>
      <c r="E25" s="129">
        <v>141.64400000000001</v>
      </c>
      <c r="F25" s="129">
        <v>1542.0171399999999</v>
      </c>
      <c r="G25" s="307">
        <f>E25/$E$26</f>
        <v>3.3018173002508228E-3</v>
      </c>
      <c r="H25" s="307">
        <f t="shared" si="2"/>
        <v>-2.5899181624372405E-2</v>
      </c>
      <c r="I25" s="313">
        <v>145.41</v>
      </c>
      <c r="J25" s="129">
        <v>1585.7676799999999</v>
      </c>
      <c r="K25" s="307">
        <f>I25/$I$26</f>
        <v>3.8181187999222757E-3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155034</v>
      </c>
      <c r="E26" s="319">
        <v>42898.8</v>
      </c>
      <c r="F26" s="319">
        <v>467018.23431000003</v>
      </c>
      <c r="G26" s="320">
        <f>SUM(G21:G25)</f>
        <v>0.99999999999999978</v>
      </c>
      <c r="H26" s="320">
        <f t="shared" si="2"/>
        <v>0.12641988016027594</v>
      </c>
      <c r="I26" s="321">
        <v>38084.200000000019</v>
      </c>
      <c r="J26" s="319">
        <v>415325.64161000022</v>
      </c>
      <c r="K26" s="320">
        <f>SUM(K21:K25)</f>
        <v>1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84</v>
      </c>
      <c r="E27" s="308">
        <f>E9+E15+E21</f>
        <v>37261.805</v>
      </c>
      <c r="F27" s="308">
        <f>F9+F15+F21</f>
        <v>406781.83385</v>
      </c>
      <c r="G27" s="309">
        <f>E27/$E$32</f>
        <v>0.35183348676911458</v>
      </c>
      <c r="H27" s="309">
        <f>(E27-I27)/I27</f>
        <v>0.15770582280732209</v>
      </c>
      <c r="I27" s="312">
        <f>I9+I15+I21</f>
        <v>32185.900999999991</v>
      </c>
      <c r="J27" s="308">
        <f>J9+J15+J21</f>
        <v>352045.16058000003</v>
      </c>
      <c r="K27" s="309">
        <f>I27/$I$32</f>
        <v>0.34824331664206959</v>
      </c>
    </row>
    <row r="28" spans="1:20" ht="11.15" customHeight="1">
      <c r="A28" s="423"/>
      <c r="B28" s="423"/>
      <c r="C28" s="154" t="s">
        <v>5</v>
      </c>
      <c r="D28" s="313">
        <f>D22</f>
        <v>325</v>
      </c>
      <c r="E28" s="129">
        <f t="shared" ref="E28:F31" si="3">E10+E16+E22</f>
        <v>11858.130999999999</v>
      </c>
      <c r="F28" s="129">
        <f t="shared" si="3"/>
        <v>129383.45783</v>
      </c>
      <c r="G28" s="307">
        <f>E28/$E$32</f>
        <v>0.11196686731345749</v>
      </c>
      <c r="H28" s="307">
        <f t="shared" ref="H28:H31" si="4">(E28-I28)/I28</f>
        <v>9.8374270278781747E-2</v>
      </c>
      <c r="I28" s="313">
        <f t="shared" ref="I28:J28" si="5">I10+I16+I22</f>
        <v>10796.075000000001</v>
      </c>
      <c r="J28" s="129">
        <f t="shared" si="5"/>
        <v>117984.12651999998</v>
      </c>
      <c r="K28" s="307">
        <f>I28/$I$32</f>
        <v>0.11681080373411118</v>
      </c>
    </row>
    <row r="29" spans="1:20" ht="11.15" customHeight="1">
      <c r="A29" s="423"/>
      <c r="B29" s="423"/>
      <c r="C29" s="154" t="s">
        <v>6</v>
      </c>
      <c r="D29" s="313">
        <f>D23</f>
        <v>11626</v>
      </c>
      <c r="E29" s="129">
        <f t="shared" si="3"/>
        <v>22233.725999999999</v>
      </c>
      <c r="F29" s="129">
        <f t="shared" si="3"/>
        <v>242555.85978999999</v>
      </c>
      <c r="G29" s="307">
        <f>E29/$E$32</f>
        <v>0.20993533035903972</v>
      </c>
      <c r="H29" s="307">
        <f t="shared" si="4"/>
        <v>0.16423479418830508</v>
      </c>
      <c r="I29" s="313">
        <f t="shared" ref="I29:J29" si="6">I11+I17+I23</f>
        <v>19097.287000000004</v>
      </c>
      <c r="J29" s="129">
        <f t="shared" si="6"/>
        <v>208635.57828999995</v>
      </c>
      <c r="K29" s="307">
        <f>I29/$I$32</f>
        <v>0.20662782016714346</v>
      </c>
    </row>
    <row r="30" spans="1:20" ht="11.15" customHeight="1">
      <c r="A30" s="423"/>
      <c r="B30" s="423"/>
      <c r="C30" s="154" t="s">
        <v>7</v>
      </c>
      <c r="D30" s="313">
        <f>D24</f>
        <v>142984</v>
      </c>
      <c r="E30" s="129">
        <f t="shared" si="3"/>
        <v>34100.300000000003</v>
      </c>
      <c r="F30" s="129">
        <f t="shared" si="3"/>
        <v>371988.80000000005</v>
      </c>
      <c r="G30" s="307">
        <f>E30/$E$32</f>
        <v>0.32198191818332039</v>
      </c>
      <c r="H30" s="307">
        <f t="shared" si="4"/>
        <v>0.14246515679442434</v>
      </c>
      <c r="I30" s="313">
        <f t="shared" ref="I30:J30" si="7">I12+I18+I24</f>
        <v>29848.000000000022</v>
      </c>
      <c r="J30" s="129">
        <f t="shared" si="7"/>
        <v>326068.90000000031</v>
      </c>
      <c r="K30" s="307">
        <f>I30/$I$32</f>
        <v>0.32294781852254201</v>
      </c>
    </row>
    <row r="31" spans="1:20" ht="11.15" customHeight="1">
      <c r="A31" s="423"/>
      <c r="B31" s="423"/>
      <c r="C31" s="154" t="s">
        <v>92</v>
      </c>
      <c r="D31" s="313">
        <f>D25</f>
        <v>15</v>
      </c>
      <c r="E31" s="129">
        <f>E13+E19+E25</f>
        <v>453.53800000000001</v>
      </c>
      <c r="F31" s="129">
        <f t="shared" si="3"/>
        <v>4952.2784099999999</v>
      </c>
      <c r="G31" s="307">
        <f>E31/$E$32</f>
        <v>4.2823973750678659E-3</v>
      </c>
      <c r="H31" s="307">
        <f t="shared" si="4"/>
        <v>-8.6229718920813839E-2</v>
      </c>
      <c r="I31" s="313">
        <f>I13+I19+I25</f>
        <v>496.33699999999999</v>
      </c>
      <c r="J31" s="129">
        <f t="shared" ref="J31" si="8">J13+J19+J25</f>
        <v>5428.85491</v>
      </c>
      <c r="K31" s="307">
        <f>I31/$I$32</f>
        <v>5.3702409341337045E-3</v>
      </c>
    </row>
    <row r="32" spans="1:20" ht="11.15" customHeight="1">
      <c r="A32" s="424"/>
      <c r="B32" s="424"/>
      <c r="C32" s="318" t="s">
        <v>0</v>
      </c>
      <c r="D32" s="321">
        <f>SUM(D27:D31)</f>
        <v>155034</v>
      </c>
      <c r="E32" s="319">
        <f>SUM(E27:E31)</f>
        <v>105907.5</v>
      </c>
      <c r="F32" s="319">
        <f>SUM(F27:F31)</f>
        <v>1155662.2298800002</v>
      </c>
      <c r="G32" s="320">
        <f>SUM(G27:G31)</f>
        <v>1</v>
      </c>
      <c r="H32" s="320">
        <f>(E32-I32)/I32</f>
        <v>0.14589239112088229</v>
      </c>
      <c r="I32" s="321">
        <f>SUM(I27:I31)</f>
        <v>92423.60000000002</v>
      </c>
      <c r="J32" s="319">
        <f>SUM(J27:J31)</f>
        <v>1010162.6203000003</v>
      </c>
      <c r="K32" s="320">
        <f>SUM(K27:K31)</f>
        <v>0.99999999999999989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89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134</v>
      </c>
      <c r="E39" s="308">
        <v>11976.788409744</v>
      </c>
      <c r="F39" s="308">
        <v>131147.69216999999</v>
      </c>
      <c r="G39" s="309">
        <f>E39/$E$44</f>
        <v>0.22900252660273021</v>
      </c>
      <c r="H39" s="309">
        <f>(E39-I39)/I39</f>
        <v>0.18882035966267013</v>
      </c>
      <c r="I39" s="312">
        <v>10074.514885615212</v>
      </c>
      <c r="J39" s="308">
        <v>110612.44157000001</v>
      </c>
      <c r="K39" s="309">
        <f>I39/$I$44</f>
        <v>0.25155486699344592</v>
      </c>
    </row>
    <row r="40" spans="1:11" ht="11.15" customHeight="1">
      <c r="A40" s="423"/>
      <c r="B40" s="423"/>
      <c r="C40" s="154" t="s">
        <v>5</v>
      </c>
      <c r="D40" s="313">
        <v>1412</v>
      </c>
      <c r="E40" s="129">
        <v>9939.2992095860009</v>
      </c>
      <c r="F40" s="129">
        <v>108836.76347000001</v>
      </c>
      <c r="G40" s="307">
        <f t="shared" ref="G40" si="9">E40/$E$44</f>
        <v>0.19004465586149275</v>
      </c>
      <c r="H40" s="307">
        <f>(E40-I40)/I40</f>
        <v>0.28550962626975568</v>
      </c>
      <c r="I40" s="313">
        <v>7731.7967959738207</v>
      </c>
      <c r="J40" s="129">
        <v>84890.570680000004</v>
      </c>
      <c r="K40" s="307">
        <f t="shared" ref="K40:K43" si="10">I40/$I$44</f>
        <v>0.19305853797572448</v>
      </c>
    </row>
    <row r="41" spans="1:11" ht="11.15" customHeight="1">
      <c r="A41" s="423"/>
      <c r="B41" s="423"/>
      <c r="C41" s="154" t="s">
        <v>6</v>
      </c>
      <c r="D41" s="313">
        <v>37131</v>
      </c>
      <c r="E41" s="129">
        <v>12937.132967624</v>
      </c>
      <c r="F41" s="129">
        <v>141663.476577831</v>
      </c>
      <c r="G41" s="307">
        <f>E41/$E$44</f>
        <v>0.24736482229000975</v>
      </c>
      <c r="H41" s="307">
        <f t="shared" ref="H41:H43" si="11">(E41-I41)/I41</f>
        <v>0.39079100424621627</v>
      </c>
      <c r="I41" s="313">
        <v>9301.9964380886213</v>
      </c>
      <c r="J41" s="129">
        <v>102130.437067858</v>
      </c>
      <c r="K41" s="307">
        <f t="shared" si="10"/>
        <v>0.23226552378199186</v>
      </c>
    </row>
    <row r="42" spans="1:11" ht="11.15" customHeight="1">
      <c r="A42" s="423"/>
      <c r="B42" s="423"/>
      <c r="C42" s="154" t="s">
        <v>7</v>
      </c>
      <c r="D42" s="313">
        <v>359776</v>
      </c>
      <c r="E42" s="129">
        <v>16218.507168882999</v>
      </c>
      <c r="F42" s="129">
        <v>177594.998536092</v>
      </c>
      <c r="G42" s="307">
        <f>E42/$E$44</f>
        <v>0.31010643190264781</v>
      </c>
      <c r="H42" s="307">
        <f t="shared" si="11"/>
        <v>0.37259645392237029</v>
      </c>
      <c r="I42" s="313">
        <v>11815.932587131882</v>
      </c>
      <c r="J42" s="129">
        <v>129731.9739391442</v>
      </c>
      <c r="K42" s="307">
        <f t="shared" si="10"/>
        <v>0.29503706968595877</v>
      </c>
    </row>
    <row r="43" spans="1:11" ht="11.15" customHeight="1">
      <c r="A43" s="423"/>
      <c r="B43" s="423"/>
      <c r="C43" s="154" t="s">
        <v>92</v>
      </c>
      <c r="D43" s="313">
        <v>40</v>
      </c>
      <c r="E43" s="129">
        <v>1228.081278677</v>
      </c>
      <c r="F43" s="129">
        <v>13447.66757</v>
      </c>
      <c r="G43" s="307">
        <f>E43/$E$44</f>
        <v>2.3481563343119616E-2</v>
      </c>
      <c r="H43" s="307">
        <f t="shared" si="11"/>
        <v>9.1884507078809893E-2</v>
      </c>
      <c r="I43" s="313">
        <v>1124.7355106837867</v>
      </c>
      <c r="J43" s="129">
        <v>12348.932839999999</v>
      </c>
      <c r="K43" s="307">
        <f t="shared" si="10"/>
        <v>2.8084001562879012E-2</v>
      </c>
    </row>
    <row r="44" spans="1:11" ht="11.15" customHeight="1">
      <c r="A44" s="424"/>
      <c r="B44" s="424"/>
      <c r="C44" s="318" t="s">
        <v>0</v>
      </c>
      <c r="D44" s="321">
        <v>398493</v>
      </c>
      <c r="E44" s="319">
        <v>52299.809034513994</v>
      </c>
      <c r="F44" s="319">
        <v>572690.59832392307</v>
      </c>
      <c r="G44" s="320">
        <f>SUM(G39:G43)</f>
        <v>1</v>
      </c>
      <c r="H44" s="320">
        <f>(E44-I44)/I44</f>
        <v>0.30589627935781122</v>
      </c>
      <c r="I44" s="321">
        <v>40048.97621749332</v>
      </c>
      <c r="J44" s="319">
        <v>439714.35609700228</v>
      </c>
      <c r="K44" s="320">
        <f>SUM(K39:K43)</f>
        <v>1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135</v>
      </c>
      <c r="E45" s="308">
        <v>18757.481164732999</v>
      </c>
      <c r="F45" s="308">
        <v>204831.49749000001</v>
      </c>
      <c r="G45" s="309">
        <f>E45/$E$50</f>
        <v>0.19937746399457507</v>
      </c>
      <c r="H45" s="309">
        <f>(E45-I45)/I45</f>
        <v>0.11489345051822243</v>
      </c>
      <c r="I45" s="312">
        <v>16824.460809249696</v>
      </c>
      <c r="J45" s="308">
        <v>184045.77160000001</v>
      </c>
      <c r="K45" s="309">
        <f>I45/$I$50</f>
        <v>0.20279169934812158</v>
      </c>
    </row>
    <row r="46" spans="1:11" ht="11.15" customHeight="1">
      <c r="A46" s="423"/>
      <c r="B46" s="423"/>
      <c r="C46" s="154" t="s">
        <v>5</v>
      </c>
      <c r="D46" s="313">
        <v>1415</v>
      </c>
      <c r="E46" s="129">
        <v>17967.440813095</v>
      </c>
      <c r="F46" s="129">
        <v>196204.24033999999</v>
      </c>
      <c r="G46" s="307">
        <f t="shared" ref="G46:G49" si="12">E46/$E$50</f>
        <v>0.1909799483377756</v>
      </c>
      <c r="H46" s="307">
        <f>(E46-I46)/I46</f>
        <v>0.10364552749917236</v>
      </c>
      <c r="I46" s="313">
        <v>16280.08302068571</v>
      </c>
      <c r="J46" s="129">
        <v>178090.77637999997</v>
      </c>
      <c r="K46" s="307">
        <f t="shared" ref="K46:K49" si="13">I46/$I$50</f>
        <v>0.19623010441311062</v>
      </c>
    </row>
    <row r="47" spans="1:11" ht="11.15" customHeight="1">
      <c r="A47" s="423"/>
      <c r="B47" s="423"/>
      <c r="C47" s="154" t="s">
        <v>6</v>
      </c>
      <c r="D47" s="313">
        <v>37135</v>
      </c>
      <c r="E47" s="129">
        <v>25190.284063438001</v>
      </c>
      <c r="F47" s="129">
        <v>275077.60287227301</v>
      </c>
      <c r="G47" s="307">
        <f t="shared" si="12"/>
        <v>0.26775316524449344</v>
      </c>
      <c r="H47" s="307">
        <f t="shared" ref="H47:H49" si="14">(E47-I47)/I47</f>
        <v>0.15610304520436893</v>
      </c>
      <c r="I47" s="313">
        <v>21788.960913068968</v>
      </c>
      <c r="J47" s="129">
        <v>238353.38926659134</v>
      </c>
      <c r="K47" s="307">
        <f t="shared" si="13"/>
        <v>0.2626307291917373</v>
      </c>
    </row>
    <row r="48" spans="1:11" ht="11.15" customHeight="1">
      <c r="A48" s="423"/>
      <c r="B48" s="423"/>
      <c r="C48" s="154" t="s">
        <v>7</v>
      </c>
      <c r="D48" s="313">
        <v>359478</v>
      </c>
      <c r="E48" s="129">
        <v>30922.481031619998</v>
      </c>
      <c r="F48" s="129">
        <v>337673.12570275302</v>
      </c>
      <c r="G48" s="307">
        <f t="shared" si="12"/>
        <v>0.32868196930920418</v>
      </c>
      <c r="H48" s="307">
        <f t="shared" si="14"/>
        <v>0.14738307590743491</v>
      </c>
      <c r="I48" s="313">
        <v>26950.44199354625</v>
      </c>
      <c r="J48" s="129">
        <v>294815.76551644929</v>
      </c>
      <c r="K48" s="307">
        <f t="shared" si="13"/>
        <v>0.32484404653547722</v>
      </c>
    </row>
    <row r="49" spans="1:11" ht="11.15" customHeight="1">
      <c r="A49" s="423"/>
      <c r="B49" s="423"/>
      <c r="C49" s="154" t="s">
        <v>92</v>
      </c>
      <c r="D49" s="313">
        <v>41</v>
      </c>
      <c r="E49" s="129">
        <v>1242.5604582159999</v>
      </c>
      <c r="F49" s="129">
        <v>13568.74545</v>
      </c>
      <c r="G49" s="307">
        <f t="shared" si="12"/>
        <v>1.3207453113951701E-2</v>
      </c>
      <c r="H49" s="307">
        <f t="shared" si="14"/>
        <v>0.10913077656262478</v>
      </c>
      <c r="I49" s="313">
        <v>1120.3011263170383</v>
      </c>
      <c r="J49" s="129">
        <v>12255.1769</v>
      </c>
      <c r="K49" s="307">
        <f t="shared" si="13"/>
        <v>1.350342051155329E-2</v>
      </c>
    </row>
    <row r="50" spans="1:11" ht="11.15" customHeight="1">
      <c r="A50" s="424"/>
      <c r="B50" s="424"/>
      <c r="C50" s="318" t="s">
        <v>0</v>
      </c>
      <c r="D50" s="321">
        <v>398204</v>
      </c>
      <c r="E50" s="319">
        <v>94080.247531101995</v>
      </c>
      <c r="F50" s="319">
        <v>1027355.211855026</v>
      </c>
      <c r="G50" s="320">
        <f>SUM(G45:G49)</f>
        <v>1</v>
      </c>
      <c r="H50" s="320">
        <f t="shared" ref="H50" si="15">(E50-I50)/I50</f>
        <v>0.13398542088404233</v>
      </c>
      <c r="I50" s="321">
        <v>82964.247862867662</v>
      </c>
      <c r="J50" s="319">
        <v>907560.87966304051</v>
      </c>
      <c r="K50" s="320">
        <f>SUM(K45:K49)</f>
        <v>0.99999999999999989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136</v>
      </c>
      <c r="E51" s="308">
        <v>20673.050702289998</v>
      </c>
      <c r="F51" s="308">
        <v>225154.83959000002</v>
      </c>
      <c r="G51" s="309">
        <f>E51/$E$56</f>
        <v>0.18572141488068139</v>
      </c>
      <c r="H51" s="309">
        <f>(E51-I51)/I51</f>
        <v>3.6830990422441659E-2</v>
      </c>
      <c r="I51" s="312">
        <v>19938.689037320408</v>
      </c>
      <c r="J51" s="308">
        <v>216690.36851445923</v>
      </c>
      <c r="K51" s="309">
        <f>I51/$I$56</f>
        <v>0.18939260454725734</v>
      </c>
    </row>
    <row r="52" spans="1:11" ht="11.15" customHeight="1">
      <c r="A52" s="423"/>
      <c r="B52" s="423"/>
      <c r="C52" s="154" t="s">
        <v>5</v>
      </c>
      <c r="D52" s="313">
        <v>1416</v>
      </c>
      <c r="E52" s="129">
        <v>21034.849175595999</v>
      </c>
      <c r="F52" s="129">
        <v>229095.23418999999</v>
      </c>
      <c r="G52" s="307">
        <f t="shared" ref="G52:G55" si="16">E52/$E$56</f>
        <v>0.1889717200887375</v>
      </c>
      <c r="H52" s="307">
        <f t="shared" ref="H52:H55" si="17">(E52-I52)/I52</f>
        <v>2.6794103426011E-2</v>
      </c>
      <c r="I52" s="313">
        <v>20485.946603521505</v>
      </c>
      <c r="J52" s="129">
        <v>223757.1918899999</v>
      </c>
      <c r="K52" s="307">
        <f t="shared" ref="K52:K55" si="18">I52/$I$56</f>
        <v>0.19459086686164609</v>
      </c>
    </row>
    <row r="53" spans="1:11" ht="11.15" customHeight="1">
      <c r="A53" s="423"/>
      <c r="B53" s="423"/>
      <c r="C53" s="154" t="s">
        <v>6</v>
      </c>
      <c r="D53" s="313">
        <v>37218</v>
      </c>
      <c r="E53" s="129">
        <v>30544.930971742</v>
      </c>
      <c r="F53" s="129">
        <v>332671.656253514</v>
      </c>
      <c r="G53" s="307">
        <f t="shared" si="16"/>
        <v>0.27440786941408107</v>
      </c>
      <c r="H53" s="307">
        <f t="shared" si="17"/>
        <v>7.7055030882904815E-2</v>
      </c>
      <c r="I53" s="313">
        <v>28359.675314550183</v>
      </c>
      <c r="J53" s="129">
        <v>310201.67168945592</v>
      </c>
      <c r="K53" s="307">
        <f t="shared" si="18"/>
        <v>0.26938144036871198</v>
      </c>
    </row>
    <row r="54" spans="1:11" ht="11.15" customHeight="1">
      <c r="A54" s="423"/>
      <c r="B54" s="423"/>
      <c r="C54" s="154" t="s">
        <v>7</v>
      </c>
      <c r="D54" s="313">
        <v>359242</v>
      </c>
      <c r="E54" s="129">
        <v>37814.322978037002</v>
      </c>
      <c r="F54" s="129">
        <v>411844.22603040101</v>
      </c>
      <c r="G54" s="307">
        <f t="shared" si="16"/>
        <v>0.33971423315176935</v>
      </c>
      <c r="H54" s="307">
        <f t="shared" si="17"/>
        <v>7.0793447277350569E-2</v>
      </c>
      <c r="I54" s="313">
        <v>35314.301814402643</v>
      </c>
      <c r="J54" s="129">
        <v>386163.77279267251</v>
      </c>
      <c r="K54" s="307">
        <f t="shared" si="18"/>
        <v>0.3354416925746137</v>
      </c>
    </row>
    <row r="55" spans="1:11" ht="11.15" customHeight="1">
      <c r="A55" s="423"/>
      <c r="B55" s="423"/>
      <c r="C55" s="154" t="s">
        <v>92</v>
      </c>
      <c r="D55" s="313">
        <v>41</v>
      </c>
      <c r="E55" s="129">
        <v>1245</v>
      </c>
      <c r="F55" s="129">
        <v>13554.251689999999</v>
      </c>
      <c r="G55" s="307">
        <f t="shared" si="16"/>
        <v>1.1184762464730725E-2</v>
      </c>
      <c r="H55" s="307">
        <f t="shared" si="17"/>
        <v>5.6510732003125071E-2</v>
      </c>
      <c r="I55" s="313">
        <v>1178.4073386926252</v>
      </c>
      <c r="J55" s="129">
        <v>12553.640069999999</v>
      </c>
      <c r="K55" s="307">
        <f t="shared" si="18"/>
        <v>1.1193395647770835E-2</v>
      </c>
    </row>
    <row r="56" spans="1:11" ht="11.15" customHeight="1">
      <c r="A56" s="424"/>
      <c r="B56" s="424"/>
      <c r="C56" s="318" t="s">
        <v>0</v>
      </c>
      <c r="D56" s="321">
        <v>398053</v>
      </c>
      <c r="E56" s="319">
        <v>111312.153827665</v>
      </c>
      <c r="F56" s="319">
        <v>1212320.2077539151</v>
      </c>
      <c r="G56" s="320">
        <f>SUM(G51:G55)</f>
        <v>1</v>
      </c>
      <c r="H56" s="320">
        <f t="shared" ref="H56" si="19">(E56-I56)/I56</f>
        <v>5.7326220983064058E-2</v>
      </c>
      <c r="I56" s="321">
        <v>105277.02010848737</v>
      </c>
      <c r="J56" s="319">
        <v>1149366.6449565876</v>
      </c>
      <c r="K56" s="320">
        <f>SUM(K51:K55)</f>
        <v>1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136</v>
      </c>
      <c r="E57" s="308">
        <f>E39+E45+E51</f>
        <v>51407.320276767001</v>
      </c>
      <c r="F57" s="308">
        <f>F39+F45+F51</f>
        <v>561134.02925000002</v>
      </c>
      <c r="G57" s="309">
        <f>E57/$E$62</f>
        <v>0.19949116893487356</v>
      </c>
      <c r="H57" s="309">
        <f>(E57-I57)/I57</f>
        <v>9.7563693038725877E-2</v>
      </c>
      <c r="I57" s="312">
        <f>I39+I45+I51</f>
        <v>46837.664732185316</v>
      </c>
      <c r="J57" s="308">
        <f>J39+J45+J51</f>
        <v>511348.58168445923</v>
      </c>
      <c r="K57" s="309">
        <f>I57/$I$62</f>
        <v>0.20516717610341612</v>
      </c>
    </row>
    <row r="58" spans="1:11" ht="11.15" customHeight="1">
      <c r="A58" s="423"/>
      <c r="B58" s="423"/>
      <c r="C58" s="154" t="s">
        <v>5</v>
      </c>
      <c r="D58" s="313">
        <f>D52</f>
        <v>1416</v>
      </c>
      <c r="E58" s="129">
        <f t="shared" ref="E58:F59" si="20">E40+E46+E52</f>
        <v>48941.589198276997</v>
      </c>
      <c r="F58" s="129">
        <f t="shared" si="20"/>
        <v>534136.23800000001</v>
      </c>
      <c r="G58" s="307">
        <f t="shared" ref="G58:G61" si="21">E58/$E$62</f>
        <v>0.18992265665921382</v>
      </c>
      <c r="H58" s="307">
        <f t="shared" ref="H58:H61" si="22">(E58-I58)/I58</f>
        <v>9.9864715551152977E-2</v>
      </c>
      <c r="I58" s="313">
        <f t="shared" ref="I58:J58" si="23">I40+I46+I52</f>
        <v>44497.826420181038</v>
      </c>
      <c r="J58" s="129">
        <f t="shared" si="23"/>
        <v>486738.53894999984</v>
      </c>
      <c r="K58" s="307">
        <f t="shared" ref="K58:K61" si="24">I58/$I$62</f>
        <v>0.19491777486282391</v>
      </c>
    </row>
    <row r="59" spans="1:11" ht="11.15" customHeight="1">
      <c r="A59" s="423"/>
      <c r="B59" s="423"/>
      <c r="C59" s="154" t="s">
        <v>6</v>
      </c>
      <c r="D59" s="313">
        <f>D53</f>
        <v>37218</v>
      </c>
      <c r="E59" s="129">
        <f>E41+E47+E53</f>
        <v>68672.348002804007</v>
      </c>
      <c r="F59" s="129">
        <f t="shared" si="20"/>
        <v>749412.73570361803</v>
      </c>
      <c r="G59" s="307">
        <f t="shared" si="21"/>
        <v>0.26648980928837013</v>
      </c>
      <c r="H59" s="307">
        <f t="shared" si="22"/>
        <v>0.15511551220909864</v>
      </c>
      <c r="I59" s="313">
        <f>I41+I47+I53</f>
        <v>59450.632665707773</v>
      </c>
      <c r="J59" s="129">
        <f t="shared" ref="J59" si="25">J41+J47+J53</f>
        <v>650685.49802390533</v>
      </c>
      <c r="K59" s="307">
        <f t="shared" si="24"/>
        <v>0.26041687798331176</v>
      </c>
    </row>
    <row r="60" spans="1:11" ht="11.15" customHeight="1">
      <c r="A60" s="423"/>
      <c r="B60" s="423"/>
      <c r="C60" s="154" t="s">
        <v>7</v>
      </c>
      <c r="D60" s="313">
        <f>D54</f>
        <v>359242</v>
      </c>
      <c r="E60" s="129">
        <f t="shared" ref="E60:F61" si="26">E42+E48+E54</f>
        <v>84955.311178539996</v>
      </c>
      <c r="F60" s="129">
        <f t="shared" si="26"/>
        <v>927112.35026924603</v>
      </c>
      <c r="G60" s="307">
        <f t="shared" si="21"/>
        <v>0.32967745144055427</v>
      </c>
      <c r="H60" s="307">
        <f t="shared" si="22"/>
        <v>0.14679448558843519</v>
      </c>
      <c r="I60" s="313">
        <f t="shared" ref="I60:J60" si="27">I42+I48+I54</f>
        <v>74080.67639508078</v>
      </c>
      <c r="J60" s="129">
        <f t="shared" si="27"/>
        <v>810711.51224826602</v>
      </c>
      <c r="K60" s="307">
        <f t="shared" si="24"/>
        <v>0.32450215583368985</v>
      </c>
    </row>
    <row r="61" spans="1:11" ht="11.15" customHeight="1">
      <c r="A61" s="423"/>
      <c r="B61" s="423"/>
      <c r="C61" s="154" t="s">
        <v>92</v>
      </c>
      <c r="D61" s="313">
        <f>D55</f>
        <v>41</v>
      </c>
      <c r="E61" s="129">
        <f>E43+E49+E55</f>
        <v>3715.6417368929997</v>
      </c>
      <c r="F61" s="129">
        <f t="shared" si="26"/>
        <v>40570.664709999997</v>
      </c>
      <c r="G61" s="307">
        <f t="shared" si="21"/>
        <v>1.4418913676988197E-2</v>
      </c>
      <c r="H61" s="307">
        <f t="shared" si="22"/>
        <v>8.5351991524956108E-2</v>
      </c>
      <c r="I61" s="313">
        <f>I43+I49+I55</f>
        <v>3423.4439756934503</v>
      </c>
      <c r="J61" s="129">
        <f t="shared" ref="J61" si="28">J43+J49+J55</f>
        <v>37157.749810000001</v>
      </c>
      <c r="K61" s="307">
        <f t="shared" si="24"/>
        <v>1.4996015216758354E-2</v>
      </c>
    </row>
    <row r="62" spans="1:11" ht="11.15" customHeight="1">
      <c r="A62" s="424"/>
      <c r="B62" s="424"/>
      <c r="C62" s="318" t="s">
        <v>0</v>
      </c>
      <c r="D62" s="321">
        <f>SUM(D57:D61)</f>
        <v>398053</v>
      </c>
      <c r="E62" s="319">
        <f>SUM(E57:E61)</f>
        <v>257692.21039328101</v>
      </c>
      <c r="F62" s="319">
        <f>SUM(F57:F61)</f>
        <v>2812366.0179328644</v>
      </c>
      <c r="G62" s="320">
        <f>SUM(G57:G61)</f>
        <v>1</v>
      </c>
      <c r="H62" s="320">
        <f>(E62-I62)/I62</f>
        <v>0.12879203975142489</v>
      </c>
      <c r="I62" s="321">
        <f>SUM(I57:I61)</f>
        <v>228290.24418884836</v>
      </c>
      <c r="J62" s="319">
        <f>SUM(J57:J61)</f>
        <v>2496641.8807166303</v>
      </c>
      <c r="K62" s="320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8"/>
  <dimension ref="A1:T120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304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44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183</v>
      </c>
      <c r="E9" s="308">
        <v>50526.626000000004</v>
      </c>
      <c r="F9" s="308">
        <v>553294.00873699994</v>
      </c>
      <c r="G9" s="309">
        <f>E9/$E$14</f>
        <v>0.63296731440680198</v>
      </c>
      <c r="H9" s="309">
        <f>(E9-I9)/I9</f>
        <v>9.2868937922391703E-2</v>
      </c>
      <c r="I9" s="312">
        <v>46233.014999999999</v>
      </c>
      <c r="J9" s="308">
        <v>507333.15062200004</v>
      </c>
      <c r="K9" s="309">
        <f>I9/$I$14</f>
        <v>0.67966259591541045</v>
      </c>
    </row>
    <row r="10" spans="1:16" ht="11.15" customHeight="1">
      <c r="A10" s="423"/>
      <c r="B10" s="423"/>
      <c r="C10" s="154" t="s">
        <v>5</v>
      </c>
      <c r="D10" s="313">
        <v>606</v>
      </c>
      <c r="E10" s="129">
        <v>5334.25</v>
      </c>
      <c r="F10" s="129">
        <v>58412.315309999998</v>
      </c>
      <c r="G10" s="307">
        <f>E10/$E$14</f>
        <v>6.6824289769011752E-2</v>
      </c>
      <c r="H10" s="307">
        <f>(E10-I10)/I10</f>
        <v>5.6197195090319174E-2</v>
      </c>
      <c r="I10" s="313">
        <v>5050.4299999999994</v>
      </c>
      <c r="J10" s="129">
        <v>55417.661679999976</v>
      </c>
      <c r="K10" s="307">
        <f>I10/$I$14</f>
        <v>7.4245392914328995E-2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18874</v>
      </c>
      <c r="E11" s="129">
        <v>7428.8</v>
      </c>
      <c r="F11" s="129">
        <v>81349</v>
      </c>
      <c r="G11" s="307">
        <f>E11/$E$14</f>
        <v>9.3063557920238932E-2</v>
      </c>
      <c r="H11" s="307">
        <f t="shared" ref="H11:H13" si="0">(E11-I11)/I11</f>
        <v>0.47793139738803569</v>
      </c>
      <c r="I11" s="313">
        <v>5026.4849999999997</v>
      </c>
      <c r="J11" s="129">
        <v>55154.758870000005</v>
      </c>
      <c r="K11" s="307">
        <f>I11/$I$14</f>
        <v>7.3893382108648362E-2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233322</v>
      </c>
      <c r="E12" s="129">
        <v>15594.8</v>
      </c>
      <c r="F12" s="129">
        <v>170771.3</v>
      </c>
      <c r="G12" s="307">
        <f>E12/$E$14</f>
        <v>0.19536231599377316</v>
      </c>
      <c r="H12" s="307">
        <f t="shared" si="0"/>
        <v>0.44934432476138253</v>
      </c>
      <c r="I12" s="313">
        <v>10759.9</v>
      </c>
      <c r="J12" s="129">
        <v>118065.9</v>
      </c>
      <c r="K12" s="307">
        <f>I12/$I$14</f>
        <v>0.15817920518032891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34</v>
      </c>
      <c r="E13" s="129">
        <v>940.54</v>
      </c>
      <c r="F13" s="129">
        <v>10299.38379</v>
      </c>
      <c r="G13" s="307">
        <f>E13/$E$14</f>
        <v>1.1782521910174122E-2</v>
      </c>
      <c r="H13" s="307">
        <f t="shared" si="0"/>
        <v>-1.3747181880144722E-2</v>
      </c>
      <c r="I13" s="313">
        <v>953.65</v>
      </c>
      <c r="J13" s="129">
        <v>10464.18953</v>
      </c>
      <c r="K13" s="307">
        <f>I13/$I$14</f>
        <v>1.4019423881283346E-2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253019</v>
      </c>
      <c r="E14" s="319">
        <v>79825.016000000003</v>
      </c>
      <c r="F14" s="319">
        <v>874126.00783699995</v>
      </c>
      <c r="G14" s="320">
        <f>SUM(G9:G13)</f>
        <v>1</v>
      </c>
      <c r="H14" s="320">
        <f>(E14-I14)/I14</f>
        <v>0.17349209420041445</v>
      </c>
      <c r="I14" s="321">
        <v>68023.48</v>
      </c>
      <c r="J14" s="319">
        <v>746435.66070200002</v>
      </c>
      <c r="K14" s="320">
        <f>SUM(K9:K13)</f>
        <v>1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184</v>
      </c>
      <c r="E15" s="308">
        <v>56071.18299999999</v>
      </c>
      <c r="F15" s="308">
        <v>612009.86258299986</v>
      </c>
      <c r="G15" s="309">
        <f>E15/$E$20</f>
        <v>0.51400314594089502</v>
      </c>
      <c r="H15" s="309">
        <f>(E15-I15)/I15</f>
        <v>0.14447727781892639</v>
      </c>
      <c r="I15" s="312">
        <v>48992.832000000002</v>
      </c>
      <c r="J15" s="308">
        <v>535564.75034100004</v>
      </c>
      <c r="K15" s="309">
        <f>I15/$I$20</f>
        <v>0.51210079417444221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603</v>
      </c>
      <c r="E16" s="129">
        <v>8040.1880000000001</v>
      </c>
      <c r="F16" s="129">
        <v>87759.487030000004</v>
      </c>
      <c r="G16" s="307">
        <f>E16/$E$20</f>
        <v>7.3704204278269528E-2</v>
      </c>
      <c r="H16" s="307">
        <f>(E16-I16)/I16</f>
        <v>6.3473604514525078E-2</v>
      </c>
      <c r="I16" s="313">
        <v>7560.308</v>
      </c>
      <c r="J16" s="129">
        <v>82638.328099999984</v>
      </c>
      <c r="K16" s="307">
        <f>I16/$I$20</f>
        <v>7.9024615907147169E-2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18878</v>
      </c>
      <c r="E17" s="129">
        <v>13813.5</v>
      </c>
      <c r="F17" s="129">
        <v>150775.4</v>
      </c>
      <c r="G17" s="307">
        <f>E17/$E$20</f>
        <v>0.1266280124044209</v>
      </c>
      <c r="H17" s="307">
        <f t="shared" ref="H17:H20" si="1">(E17-I17)/I17</f>
        <v>0.17041638811714085</v>
      </c>
      <c r="I17" s="313">
        <v>11802.21</v>
      </c>
      <c r="J17" s="129">
        <v>129004.83727999999</v>
      </c>
      <c r="K17" s="307">
        <f>I17/$I$20</f>
        <v>0.12336337515687078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233196</v>
      </c>
      <c r="E18" s="129">
        <v>30238.5</v>
      </c>
      <c r="F18" s="129">
        <v>330054.8</v>
      </c>
      <c r="G18" s="307">
        <f>E18/$E$20</f>
        <v>0.27719558063424055</v>
      </c>
      <c r="H18" s="307">
        <f t="shared" si="1"/>
        <v>0.14752760806041518</v>
      </c>
      <c r="I18" s="313">
        <v>26351</v>
      </c>
      <c r="J18" s="129">
        <v>288031.5</v>
      </c>
      <c r="K18" s="307">
        <f>I18/$I$20</f>
        <v>0.2754355581504398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34</v>
      </c>
      <c r="E19" s="129">
        <v>923.86599999999999</v>
      </c>
      <c r="F19" s="129">
        <v>10084.038200000001</v>
      </c>
      <c r="G19" s="307">
        <f>E19/$E$20</f>
        <v>8.4690567421741563E-3</v>
      </c>
      <c r="H19" s="307">
        <f t="shared" si="1"/>
        <v>-4.1574121237710655E-2</v>
      </c>
      <c r="I19" s="313">
        <v>963.94100000000003</v>
      </c>
      <c r="J19" s="129">
        <v>10536.423639999999</v>
      </c>
      <c r="K19" s="307">
        <f>I19/$I$20</f>
        <v>1.0075656611099887E-2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252895</v>
      </c>
      <c r="E20" s="319">
        <v>109087.23699999998</v>
      </c>
      <c r="F20" s="319">
        <v>1190683.587813</v>
      </c>
      <c r="G20" s="320">
        <f>SUM(G15:G19)</f>
        <v>1.0000000000000002</v>
      </c>
      <c r="H20" s="320">
        <f t="shared" si="1"/>
        <v>0.14024150924763013</v>
      </c>
      <c r="I20" s="321">
        <v>95670.291000000012</v>
      </c>
      <c r="J20" s="319">
        <v>1045775.8393610001</v>
      </c>
      <c r="K20" s="320">
        <f>SUM(K15:K19)</f>
        <v>0.99999999999999989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183</v>
      </c>
      <c r="E21" s="308">
        <v>52149.334000000003</v>
      </c>
      <c r="F21" s="308">
        <v>567730.18284699996</v>
      </c>
      <c r="G21" s="309">
        <f>E21/$E$26</f>
        <v>0.44715852125506644</v>
      </c>
      <c r="H21" s="309">
        <f>(E21-I21)/I21</f>
        <v>1.8545240617150661E-2</v>
      </c>
      <c r="I21" s="312">
        <v>51199.82099999996</v>
      </c>
      <c r="J21" s="308">
        <v>558391.89274600009</v>
      </c>
      <c r="K21" s="309">
        <f>I21/$I$26</f>
        <v>0.45342991884886757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605</v>
      </c>
      <c r="E22" s="129">
        <v>8764.64</v>
      </c>
      <c r="F22" s="129">
        <v>95416.794169999994</v>
      </c>
      <c r="G22" s="307">
        <f>E22/$E$26</f>
        <v>7.5153087510820463E-2</v>
      </c>
      <c r="H22" s="307">
        <f t="shared" ref="H22:H26" si="2">(E22-I22)/I22</f>
        <v>1.0335004652457614E-2</v>
      </c>
      <c r="I22" s="313">
        <v>8674.984000000004</v>
      </c>
      <c r="J22" s="129">
        <v>94604.672929999942</v>
      </c>
      <c r="K22" s="307">
        <f>I22/$I$26</f>
        <v>7.6826387559738335E-2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18888</v>
      </c>
      <c r="E23" s="129">
        <v>16750.2</v>
      </c>
      <c r="F23" s="129">
        <v>182351.9</v>
      </c>
      <c r="G23" s="307">
        <f>E23/$E$26</f>
        <v>0.14362589295438777</v>
      </c>
      <c r="H23" s="307">
        <f t="shared" si="2"/>
        <v>5.8066568458205688E-2</v>
      </c>
      <c r="I23" s="313">
        <v>15830.951000000001</v>
      </c>
      <c r="J23" s="129">
        <v>172644.12695000009</v>
      </c>
      <c r="K23" s="307">
        <f>I23/$I$26</f>
        <v>0.14020023287250175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233125</v>
      </c>
      <c r="E24" s="129">
        <v>38091.4</v>
      </c>
      <c r="F24" s="129">
        <v>414683.3</v>
      </c>
      <c r="G24" s="307">
        <f>E24/$E$26</f>
        <v>0.32661767255810475</v>
      </c>
      <c r="H24" s="307">
        <f t="shared" si="2"/>
        <v>4.7952592136105025E-2</v>
      </c>
      <c r="I24" s="313">
        <v>36348.400000000001</v>
      </c>
      <c r="J24" s="129">
        <v>396397.5</v>
      </c>
      <c r="K24" s="307">
        <f>I24/$I$26</f>
        <v>0.32190448599978877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34</v>
      </c>
      <c r="E25" s="129">
        <v>868.24400000000003</v>
      </c>
      <c r="F25" s="129">
        <v>9452.1631799999996</v>
      </c>
      <c r="G25" s="307">
        <f>E25/$E$26</f>
        <v>7.4448257216206048E-3</v>
      </c>
      <c r="H25" s="307">
        <f t="shared" si="2"/>
        <v>6.5803507665483122E-3</v>
      </c>
      <c r="I25" s="313">
        <v>862.56799999999998</v>
      </c>
      <c r="J25" s="129">
        <v>9406.7227400000011</v>
      </c>
      <c r="K25" s="307">
        <f>I25/$I$26</f>
        <v>7.6389747191036141E-3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252835</v>
      </c>
      <c r="E26" s="319">
        <v>116623.818</v>
      </c>
      <c r="F26" s="319">
        <v>1269634.340197</v>
      </c>
      <c r="G26" s="320">
        <f>SUM(G21:G25)</f>
        <v>1</v>
      </c>
      <c r="H26" s="320">
        <f t="shared" si="2"/>
        <v>3.283033609795518E-2</v>
      </c>
      <c r="I26" s="321">
        <v>112916.72399999996</v>
      </c>
      <c r="J26" s="319">
        <v>1231444.915366</v>
      </c>
      <c r="K26" s="320">
        <f>SUM(K21:K25)</f>
        <v>0.99999999999999989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183</v>
      </c>
      <c r="E27" s="308">
        <f>E9+E15+E21</f>
        <v>158747.14299999998</v>
      </c>
      <c r="F27" s="308">
        <f>F9+F15+F21</f>
        <v>1733034.0541669999</v>
      </c>
      <c r="G27" s="309">
        <f>E27/$E$32</f>
        <v>0.51956923606574745</v>
      </c>
      <c r="H27" s="309">
        <f>(E27-I27)/I27</f>
        <v>8.4148327054243036E-2</v>
      </c>
      <c r="I27" s="312">
        <f>I9+I15+I21</f>
        <v>146425.66799999998</v>
      </c>
      <c r="J27" s="308">
        <f>J9+J15+J21</f>
        <v>1601289.7937090001</v>
      </c>
      <c r="K27" s="309">
        <f>I27/$I$32</f>
        <v>0.52935687780031626</v>
      </c>
    </row>
    <row r="28" spans="1:20" ht="11.15" customHeight="1">
      <c r="A28" s="423"/>
      <c r="B28" s="423"/>
      <c r="C28" s="154" t="s">
        <v>5</v>
      </c>
      <c r="D28" s="313">
        <f>D22</f>
        <v>605</v>
      </c>
      <c r="E28" s="129">
        <f t="shared" ref="E28:F31" si="3">E10+E16+E22</f>
        <v>22139.078000000001</v>
      </c>
      <c r="F28" s="129">
        <f t="shared" si="3"/>
        <v>241588.59651</v>
      </c>
      <c r="G28" s="307">
        <f>E28/$E$32</f>
        <v>7.2459784952854225E-2</v>
      </c>
      <c r="H28" s="307">
        <f t="shared" ref="H28:H31" si="4">(E28-I28)/I28</f>
        <v>4.0090535806114526E-2</v>
      </c>
      <c r="I28" s="313">
        <f t="shared" ref="I28:J28" si="5">I10+I16+I22</f>
        <v>21285.722000000002</v>
      </c>
      <c r="J28" s="129">
        <f t="shared" si="5"/>
        <v>232660.66270999989</v>
      </c>
      <c r="K28" s="307">
        <f>I28/$I$32</f>
        <v>7.6951968145677202E-2</v>
      </c>
    </row>
    <row r="29" spans="1:20" ht="11.15" customHeight="1">
      <c r="A29" s="423"/>
      <c r="B29" s="423"/>
      <c r="C29" s="154" t="s">
        <v>6</v>
      </c>
      <c r="D29" s="313">
        <f>D23</f>
        <v>18888</v>
      </c>
      <c r="E29" s="129">
        <f t="shared" si="3"/>
        <v>37992.5</v>
      </c>
      <c r="F29" s="129">
        <f t="shared" si="3"/>
        <v>414476.3</v>
      </c>
      <c r="G29" s="307">
        <f>E29/$E$32</f>
        <v>0.1243470202246595</v>
      </c>
      <c r="H29" s="307">
        <f t="shared" si="4"/>
        <v>0.16328572575465145</v>
      </c>
      <c r="I29" s="313">
        <f t="shared" ref="I29:J29" si="6">I11+I17+I23</f>
        <v>32659.646000000001</v>
      </c>
      <c r="J29" s="129">
        <f t="shared" si="6"/>
        <v>356803.72310000006</v>
      </c>
      <c r="K29" s="307">
        <f>I29/$I$32</f>
        <v>0.11807088519905942</v>
      </c>
    </row>
    <row r="30" spans="1:20" ht="11.15" customHeight="1">
      <c r="A30" s="423"/>
      <c r="B30" s="423"/>
      <c r="C30" s="154" t="s">
        <v>7</v>
      </c>
      <c r="D30" s="313">
        <f>D24</f>
        <v>233125</v>
      </c>
      <c r="E30" s="129">
        <f t="shared" si="3"/>
        <v>83924.700000000012</v>
      </c>
      <c r="F30" s="129">
        <f t="shared" si="3"/>
        <v>915509.39999999991</v>
      </c>
      <c r="G30" s="307">
        <f>E30/$E$32</f>
        <v>0.27468017025066743</v>
      </c>
      <c r="H30" s="307">
        <f t="shared" si="4"/>
        <v>0.14246528349712029</v>
      </c>
      <c r="I30" s="313">
        <f t="shared" ref="I30:J30" si="7">I12+I18+I24</f>
        <v>73459.3</v>
      </c>
      <c r="J30" s="129">
        <f t="shared" si="7"/>
        <v>802494.9</v>
      </c>
      <c r="K30" s="307">
        <f>I30/$I$32</f>
        <v>0.2655694607682908</v>
      </c>
    </row>
    <row r="31" spans="1:20" ht="11.15" customHeight="1">
      <c r="A31" s="423"/>
      <c r="B31" s="423"/>
      <c r="C31" s="154" t="s">
        <v>92</v>
      </c>
      <c r="D31" s="313">
        <f>D25</f>
        <v>34</v>
      </c>
      <c r="E31" s="129">
        <f>E13+E19+E25</f>
        <v>2732.65</v>
      </c>
      <c r="F31" s="129">
        <f t="shared" si="3"/>
        <v>29835.585170000002</v>
      </c>
      <c r="G31" s="307">
        <f>E31/$E$32</f>
        <v>8.9437885060713509E-3</v>
      </c>
      <c r="H31" s="307">
        <f t="shared" si="4"/>
        <v>-1.7088590976271346E-2</v>
      </c>
      <c r="I31" s="313">
        <f>I13+I19+I25</f>
        <v>2780.1589999999997</v>
      </c>
      <c r="J31" s="129">
        <f t="shared" ref="J31" si="8">J13+J19+J25</f>
        <v>30407.335909999998</v>
      </c>
      <c r="K31" s="307">
        <f>I31/$I$32</f>
        <v>1.0050808086656291E-2</v>
      </c>
    </row>
    <row r="32" spans="1:20" ht="11.15" customHeight="1">
      <c r="A32" s="424"/>
      <c r="B32" s="424"/>
      <c r="C32" s="318" t="s">
        <v>0</v>
      </c>
      <c r="D32" s="321">
        <f>SUM(D27:D31)</f>
        <v>252835</v>
      </c>
      <c r="E32" s="319">
        <f>SUM(E27:E31)</f>
        <v>305536.071</v>
      </c>
      <c r="F32" s="319">
        <f>SUM(F27:F31)</f>
        <v>3334443.9358469998</v>
      </c>
      <c r="G32" s="320">
        <f>SUM(G27:G31)</f>
        <v>0.99999999999999989</v>
      </c>
      <c r="H32" s="320">
        <f>(E32-I32)/I32</f>
        <v>0.10457150586422978</v>
      </c>
      <c r="I32" s="321">
        <f>SUM(I27:I31)</f>
        <v>276610.495</v>
      </c>
      <c r="J32" s="319">
        <f>SUM(J27:J31)</f>
        <v>3023656.4154289998</v>
      </c>
      <c r="K32" s="320">
        <f>SUM(K27:K31)</f>
        <v>0.99999999999999989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45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132</v>
      </c>
      <c r="E39" s="308">
        <v>67576.468999999997</v>
      </c>
      <c r="F39" s="308">
        <v>740054.34152300004</v>
      </c>
      <c r="G39" s="309">
        <f>E39/$E$44</f>
        <v>0.81492745572794079</v>
      </c>
      <c r="H39" s="309">
        <f>(E39-I39)/I39</f>
        <v>-1.6213841039713999E-2</v>
      </c>
      <c r="I39" s="312">
        <v>68690.201000000001</v>
      </c>
      <c r="J39" s="308">
        <v>753786.69432800007</v>
      </c>
      <c r="K39" s="309">
        <f>I39/$I$44</f>
        <v>0.85967405820660925</v>
      </c>
    </row>
    <row r="40" spans="1:11" ht="11.15" customHeight="1">
      <c r="A40" s="423"/>
      <c r="B40" s="423"/>
      <c r="C40" s="154" t="s">
        <v>5</v>
      </c>
      <c r="D40" s="313">
        <v>289</v>
      </c>
      <c r="E40" s="129">
        <v>2527.7750000000001</v>
      </c>
      <c r="F40" s="129">
        <v>27680.636869999998</v>
      </c>
      <c r="G40" s="307">
        <f t="shared" ref="G40" si="9">E40/$E$44</f>
        <v>3.0483292185667404E-2</v>
      </c>
      <c r="H40" s="307">
        <f>(E40-I40)/I40</f>
        <v>0.15866878741485696</v>
      </c>
      <c r="I40" s="313">
        <v>2181.62</v>
      </c>
      <c r="J40" s="129">
        <v>23938.857320000006</v>
      </c>
      <c r="K40" s="307">
        <f t="shared" ref="K40:K43" si="10">I40/$I$44</f>
        <v>2.7303488584415451E-2</v>
      </c>
    </row>
    <row r="41" spans="1:11" ht="11.15" customHeight="1">
      <c r="A41" s="423"/>
      <c r="B41" s="423"/>
      <c r="C41" s="154" t="s">
        <v>6</v>
      </c>
      <c r="D41" s="313">
        <v>12705</v>
      </c>
      <c r="E41" s="129">
        <v>4365.79</v>
      </c>
      <c r="F41" s="129">
        <v>47790.441480000001</v>
      </c>
      <c r="G41" s="307">
        <f>E41/$E$44</f>
        <v>5.264853564548462E-2</v>
      </c>
      <c r="H41" s="307">
        <f t="shared" ref="H41:H43" si="11">(E41-I41)/I41</f>
        <v>0.42652783219095608</v>
      </c>
      <c r="I41" s="313">
        <v>3060.431</v>
      </c>
      <c r="J41" s="129">
        <v>33519.726549999999</v>
      </c>
      <c r="K41" s="307">
        <f t="shared" si="10"/>
        <v>3.8302015416017077E-2</v>
      </c>
    </row>
    <row r="42" spans="1:11" ht="11.15" customHeight="1">
      <c r="A42" s="423"/>
      <c r="B42" s="423"/>
      <c r="C42" s="154" t="s">
        <v>7</v>
      </c>
      <c r="D42" s="313">
        <v>202257</v>
      </c>
      <c r="E42" s="129">
        <v>8013.9</v>
      </c>
      <c r="F42" s="129">
        <v>87755.8</v>
      </c>
      <c r="G42" s="307">
        <f>E42/$E$44</f>
        <v>9.6642325858401157E-2</v>
      </c>
      <c r="H42" s="307">
        <f t="shared" si="11"/>
        <v>0.4493516358309369</v>
      </c>
      <c r="I42" s="313">
        <v>5529.3</v>
      </c>
      <c r="J42" s="129">
        <v>60671.6</v>
      </c>
      <c r="K42" s="307">
        <f t="shared" si="10"/>
        <v>6.9200492950105136E-2</v>
      </c>
    </row>
    <row r="43" spans="1:11" ht="11.15" customHeight="1">
      <c r="A43" s="423"/>
      <c r="B43" s="423"/>
      <c r="C43" s="154" t="s">
        <v>92</v>
      </c>
      <c r="D43" s="313">
        <v>20</v>
      </c>
      <c r="E43" s="129">
        <v>439.36</v>
      </c>
      <c r="F43" s="129">
        <v>4790.8548900000005</v>
      </c>
      <c r="G43" s="307">
        <f>E43/$E$44</f>
        <v>5.2983905825062872E-3</v>
      </c>
      <c r="H43" s="307">
        <f t="shared" si="11"/>
        <v>-3.8498338087053835E-3</v>
      </c>
      <c r="I43" s="313">
        <v>441.05799999999999</v>
      </c>
      <c r="J43" s="129">
        <v>4839.6298000000006</v>
      </c>
      <c r="K43" s="307">
        <f t="shared" si="10"/>
        <v>5.5199448428530683E-3</v>
      </c>
    </row>
    <row r="44" spans="1:11" ht="11.15" customHeight="1">
      <c r="A44" s="424"/>
      <c r="B44" s="424"/>
      <c r="C44" s="318" t="s">
        <v>0</v>
      </c>
      <c r="D44" s="321">
        <v>215403</v>
      </c>
      <c r="E44" s="319">
        <v>82923.29399999998</v>
      </c>
      <c r="F44" s="319">
        <v>908072.07476300013</v>
      </c>
      <c r="G44" s="320">
        <f>SUM(G39:G43)</f>
        <v>1.0000000000000002</v>
      </c>
      <c r="H44" s="320">
        <f>(E44-I44)/I44</f>
        <v>3.7804572341253673E-2</v>
      </c>
      <c r="I44" s="321">
        <v>79902.61</v>
      </c>
      <c r="J44" s="319">
        <v>876756.50799800002</v>
      </c>
      <c r="K44" s="320">
        <f>SUM(K39:K43)</f>
        <v>1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132</v>
      </c>
      <c r="E45" s="308">
        <v>105763.408</v>
      </c>
      <c r="F45" s="308">
        <v>1154601.4540510001</v>
      </c>
      <c r="G45" s="309">
        <f>E45/$E$50</f>
        <v>0.79052354853479923</v>
      </c>
      <c r="H45" s="309">
        <f>(E45-I45)/I45</f>
        <v>0.92390362310167073</v>
      </c>
      <c r="I45" s="312">
        <v>54973.34</v>
      </c>
      <c r="J45" s="308">
        <v>600699.39720600005</v>
      </c>
      <c r="K45" s="309">
        <f>I45/$I$50</f>
        <v>0.68937970192942488</v>
      </c>
    </row>
    <row r="46" spans="1:11" ht="11.15" customHeight="1">
      <c r="A46" s="423"/>
      <c r="B46" s="423"/>
      <c r="C46" s="154" t="s">
        <v>5</v>
      </c>
      <c r="D46" s="313">
        <v>288</v>
      </c>
      <c r="E46" s="129">
        <v>3939.2979999999998</v>
      </c>
      <c r="F46" s="129">
        <v>42997.761769999997</v>
      </c>
      <c r="G46" s="307">
        <f t="shared" ref="G46:G49" si="12">E46/$E$50</f>
        <v>2.9444095009646794E-2</v>
      </c>
      <c r="H46" s="307">
        <f>(E46-I46)/I46</f>
        <v>4.9357074339952602E-2</v>
      </c>
      <c r="I46" s="313">
        <v>3754.011</v>
      </c>
      <c r="J46" s="129">
        <v>41033.50183999999</v>
      </c>
      <c r="K46" s="307">
        <f t="shared" ref="K46:K49" si="13">I46/$I$50</f>
        <v>4.7076255221527058E-2</v>
      </c>
    </row>
    <row r="47" spans="1:11" ht="11.15" customHeight="1">
      <c r="A47" s="423"/>
      <c r="B47" s="423"/>
      <c r="C47" s="154" t="s">
        <v>6</v>
      </c>
      <c r="D47" s="313">
        <v>12704</v>
      </c>
      <c r="E47" s="129">
        <v>8119.2619999999997</v>
      </c>
      <c r="F47" s="129">
        <v>88593.38115999999</v>
      </c>
      <c r="G47" s="307">
        <f t="shared" si="12"/>
        <v>6.068703655732946E-2</v>
      </c>
      <c r="H47" s="307">
        <f t="shared" ref="H47:H49" si="14">(E47-I47)/I47</f>
        <v>0.15205254972260968</v>
      </c>
      <c r="I47" s="313">
        <v>7047.6489999999994</v>
      </c>
      <c r="J47" s="129">
        <v>76961.804980000001</v>
      </c>
      <c r="K47" s="307">
        <f t="shared" si="13"/>
        <v>8.8379315626869473E-2</v>
      </c>
    </row>
    <row r="48" spans="1:11" ht="11.15" customHeight="1">
      <c r="A48" s="423"/>
      <c r="B48" s="423"/>
      <c r="C48" s="154" t="s">
        <v>7</v>
      </c>
      <c r="D48" s="313">
        <v>202148</v>
      </c>
      <c r="E48" s="129">
        <v>15538.9</v>
      </c>
      <c r="F48" s="129">
        <v>169608.1</v>
      </c>
      <c r="G48" s="307">
        <f t="shared" si="12"/>
        <v>0.11614476689638625</v>
      </c>
      <c r="H48" s="307">
        <f t="shared" si="14"/>
        <v>0.14752754556464706</v>
      </c>
      <c r="I48" s="313">
        <v>13541.2</v>
      </c>
      <c r="J48" s="129">
        <v>148013.29999999999</v>
      </c>
      <c r="K48" s="307">
        <f t="shared" si="13"/>
        <v>0.16981010103746158</v>
      </c>
    </row>
    <row r="49" spans="1:11" ht="11.15" customHeight="1">
      <c r="A49" s="423"/>
      <c r="B49" s="423"/>
      <c r="C49" s="154" t="s">
        <v>92</v>
      </c>
      <c r="D49" s="313">
        <v>20</v>
      </c>
      <c r="E49" s="129">
        <v>428.19899999999996</v>
      </c>
      <c r="F49" s="129">
        <v>4657.8889200000003</v>
      </c>
      <c r="G49" s="307">
        <f t="shared" si="12"/>
        <v>3.2005530018383343E-3</v>
      </c>
      <c r="H49" s="307">
        <f t="shared" si="14"/>
        <v>2.8197051487721188E-3</v>
      </c>
      <c r="I49" s="313">
        <v>426.995</v>
      </c>
      <c r="J49" s="129">
        <v>4667.3011400000005</v>
      </c>
      <c r="K49" s="307">
        <f t="shared" si="13"/>
        <v>5.3546261847170788E-3</v>
      </c>
    </row>
    <row r="50" spans="1:11" ht="11.15" customHeight="1">
      <c r="A50" s="424"/>
      <c r="B50" s="424"/>
      <c r="C50" s="318" t="s">
        <v>0</v>
      </c>
      <c r="D50" s="321">
        <v>215292</v>
      </c>
      <c r="E50" s="319">
        <v>133789.06699999998</v>
      </c>
      <c r="F50" s="319">
        <v>1460458.5859010003</v>
      </c>
      <c r="G50" s="320">
        <f>SUM(G45:G49)</f>
        <v>1.0000000000000002</v>
      </c>
      <c r="H50" s="320">
        <f t="shared" ref="H50" si="15">(E50-I50)/I50</f>
        <v>0.67774901670292986</v>
      </c>
      <c r="I50" s="321">
        <v>79743.194999999992</v>
      </c>
      <c r="J50" s="319">
        <v>871375.30516600015</v>
      </c>
      <c r="K50" s="320">
        <f>SUM(K45:K49)</f>
        <v>1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132</v>
      </c>
      <c r="E51" s="308">
        <v>74462.290999999997</v>
      </c>
      <c r="F51" s="308">
        <v>810993.43712299992</v>
      </c>
      <c r="G51" s="309">
        <f>E51/$E$56</f>
        <v>0.68646588412393861</v>
      </c>
      <c r="H51" s="309">
        <f>(E51-I51)/I51</f>
        <v>0.23517991029578952</v>
      </c>
      <c r="I51" s="312">
        <v>60284.570999999873</v>
      </c>
      <c r="J51" s="308">
        <v>657806.17974400008</v>
      </c>
      <c r="K51" s="309">
        <f>I51/$I$56</f>
        <v>0.64869732343330666</v>
      </c>
    </row>
    <row r="52" spans="1:11" ht="11.15" customHeight="1">
      <c r="A52" s="423"/>
      <c r="B52" s="423"/>
      <c r="C52" s="154" t="s">
        <v>5</v>
      </c>
      <c r="D52" s="313">
        <v>288</v>
      </c>
      <c r="E52" s="129">
        <v>4200.1369999999997</v>
      </c>
      <c r="F52" s="129">
        <v>45724.963949999998</v>
      </c>
      <c r="G52" s="307">
        <f t="shared" ref="G52:G55" si="16">E52/$E$56</f>
        <v>3.8720951510163269E-2</v>
      </c>
      <c r="H52" s="307">
        <f t="shared" ref="H52:H55" si="17">(E52-I52)/I52</f>
        <v>6.8759290306905931E-4</v>
      </c>
      <c r="I52" s="313">
        <v>4197.2510000000002</v>
      </c>
      <c r="J52" s="129">
        <v>45773.363440000016</v>
      </c>
      <c r="K52" s="307">
        <f t="shared" ref="K52:K55" si="18">I52/$I$56</f>
        <v>4.5164881234334001E-2</v>
      </c>
    </row>
    <row r="53" spans="1:11" ht="11.15" customHeight="1">
      <c r="A53" s="423"/>
      <c r="B53" s="423"/>
      <c r="C53" s="154" t="s">
        <v>6</v>
      </c>
      <c r="D53" s="313">
        <v>12711</v>
      </c>
      <c r="E53" s="129">
        <v>9839.7759999999998</v>
      </c>
      <c r="F53" s="129">
        <v>107090.61615</v>
      </c>
      <c r="G53" s="307">
        <f t="shared" si="16"/>
        <v>9.0712633746677387E-2</v>
      </c>
      <c r="H53" s="307">
        <f t="shared" si="17"/>
        <v>5.0238737293983433E-2</v>
      </c>
      <c r="I53" s="313">
        <v>9369.0849999999991</v>
      </c>
      <c r="J53" s="129">
        <v>102118.00669999998</v>
      </c>
      <c r="K53" s="307">
        <f t="shared" si="18"/>
        <v>0.10081684685985663</v>
      </c>
    </row>
    <row r="54" spans="1:11" ht="11.15" customHeight="1">
      <c r="A54" s="423"/>
      <c r="B54" s="423"/>
      <c r="C54" s="154" t="s">
        <v>7</v>
      </c>
      <c r="D54" s="313">
        <v>202082</v>
      </c>
      <c r="E54" s="129">
        <v>19574.400000000001</v>
      </c>
      <c r="F54" s="129">
        <v>213096.9</v>
      </c>
      <c r="G54" s="307">
        <f t="shared" si="16"/>
        <v>0.18045587399661964</v>
      </c>
      <c r="H54" s="307">
        <f t="shared" si="17"/>
        <v>4.7953016002184344E-2</v>
      </c>
      <c r="I54" s="313">
        <v>18678.7</v>
      </c>
      <c r="J54" s="129">
        <v>203700.19999999995</v>
      </c>
      <c r="K54" s="307">
        <f t="shared" si="18"/>
        <v>0.2009937616577504</v>
      </c>
    </row>
    <row r="55" spans="1:11" ht="11.15" customHeight="1">
      <c r="A55" s="423"/>
      <c r="B55" s="423"/>
      <c r="C55" s="154" t="s">
        <v>92</v>
      </c>
      <c r="D55" s="313">
        <v>20</v>
      </c>
      <c r="E55" s="129">
        <v>395.34300000000002</v>
      </c>
      <c r="F55" s="129">
        <v>4292.7914000000001</v>
      </c>
      <c r="G55" s="307">
        <f t="shared" si="16"/>
        <v>3.644656622601234E-3</v>
      </c>
      <c r="H55" s="307">
        <f t="shared" si="17"/>
        <v>-1.6884960945756661E-2</v>
      </c>
      <c r="I55" s="313">
        <v>402.13299999999998</v>
      </c>
      <c r="J55" s="129">
        <v>4385.4617299999991</v>
      </c>
      <c r="K55" s="307">
        <f t="shared" si="18"/>
        <v>4.3271868147524255E-3</v>
      </c>
    </row>
    <row r="56" spans="1:11" ht="11.15" customHeight="1">
      <c r="A56" s="424"/>
      <c r="B56" s="424"/>
      <c r="C56" s="318" t="s">
        <v>0</v>
      </c>
      <c r="D56" s="321">
        <v>215233</v>
      </c>
      <c r="E56" s="319">
        <v>108471.94699999999</v>
      </c>
      <c r="F56" s="319">
        <v>1181198.708623</v>
      </c>
      <c r="G56" s="320">
        <f>SUM(G51:G55)</f>
        <v>1.0000000000000002</v>
      </c>
      <c r="H56" s="320">
        <f t="shared" ref="H56" si="19">(E56-I56)/I56</f>
        <v>0.16722173715890987</v>
      </c>
      <c r="I56" s="321">
        <v>92931.73999999986</v>
      </c>
      <c r="J56" s="319">
        <v>1013783.211614</v>
      </c>
      <c r="K56" s="320">
        <f>SUM(K51:K55)</f>
        <v>1.0000000000000002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132</v>
      </c>
      <c r="E57" s="308">
        <f>E39+E45+E51</f>
        <v>247802.16799999998</v>
      </c>
      <c r="F57" s="308">
        <f>F39+F45+F51</f>
        <v>2705649.2326969998</v>
      </c>
      <c r="G57" s="309">
        <f>E57/$E$62</f>
        <v>0.76203605741024871</v>
      </c>
      <c r="H57" s="309">
        <f>(E57-I57)/I57</f>
        <v>0.34713080393018736</v>
      </c>
      <c r="I57" s="312">
        <f>I39+I45+I51</f>
        <v>183948.11199999988</v>
      </c>
      <c r="J57" s="308">
        <f>J39+J45+J51</f>
        <v>2012292.2712780002</v>
      </c>
      <c r="K57" s="309">
        <f>I57/$I$62</f>
        <v>0.72828371183986274</v>
      </c>
    </row>
    <row r="58" spans="1:11" ht="11.15" customHeight="1">
      <c r="A58" s="423"/>
      <c r="B58" s="423"/>
      <c r="C58" s="154" t="s">
        <v>5</v>
      </c>
      <c r="D58" s="313">
        <f>D52</f>
        <v>288</v>
      </c>
      <c r="E58" s="129">
        <f t="shared" ref="E58:F59" si="20">E40+E46+E52</f>
        <v>10667.21</v>
      </c>
      <c r="F58" s="129">
        <f t="shared" si="20"/>
        <v>116403.36259</v>
      </c>
      <c r="G58" s="307">
        <f t="shared" ref="G58:G61" si="21">E58/$E$62</f>
        <v>3.2803581653761717E-2</v>
      </c>
      <c r="H58" s="307">
        <f t="shared" ref="H58:H61" si="22">(E58-I58)/I58</f>
        <v>5.2732085501439721E-2</v>
      </c>
      <c r="I58" s="313">
        <f t="shared" ref="I58:J58" si="23">I40+I46+I52</f>
        <v>10132.882</v>
      </c>
      <c r="J58" s="129">
        <f t="shared" si="23"/>
        <v>110745.72260000001</v>
      </c>
      <c r="K58" s="307">
        <f t="shared" ref="K58:K61" si="24">I58/$I$62</f>
        <v>4.0117905176408321E-2</v>
      </c>
    </row>
    <row r="59" spans="1:11" ht="11.15" customHeight="1">
      <c r="A59" s="423"/>
      <c r="B59" s="423"/>
      <c r="C59" s="154" t="s">
        <v>6</v>
      </c>
      <c r="D59" s="313">
        <f>D53</f>
        <v>12711</v>
      </c>
      <c r="E59" s="129">
        <f>E41+E47+E53</f>
        <v>22324.828000000001</v>
      </c>
      <c r="F59" s="129">
        <f t="shared" si="20"/>
        <v>243474.43878999999</v>
      </c>
      <c r="G59" s="307">
        <f t="shared" si="21"/>
        <v>6.8652845327333581E-2</v>
      </c>
      <c r="H59" s="307">
        <f t="shared" si="22"/>
        <v>0.1462052100498199</v>
      </c>
      <c r="I59" s="313">
        <f>I41+I47+I53</f>
        <v>19477.165000000001</v>
      </c>
      <c r="J59" s="129">
        <f t="shared" ref="J59" si="25">J41+J47+J53</f>
        <v>212599.53823000001</v>
      </c>
      <c r="K59" s="307">
        <f t="shared" si="24"/>
        <v>7.7113604853511472E-2</v>
      </c>
    </row>
    <row r="60" spans="1:11" ht="11.15" customHeight="1">
      <c r="A60" s="423"/>
      <c r="B60" s="423"/>
      <c r="C60" s="154" t="s">
        <v>7</v>
      </c>
      <c r="D60" s="313">
        <f>D54</f>
        <v>202082</v>
      </c>
      <c r="E60" s="129">
        <f t="shared" ref="E60:F61" si="26">E42+E48+E54</f>
        <v>43127.199999999997</v>
      </c>
      <c r="F60" s="129">
        <f t="shared" si="26"/>
        <v>470460.80000000005</v>
      </c>
      <c r="G60" s="307">
        <f t="shared" si="21"/>
        <v>0.13262386572478768</v>
      </c>
      <c r="H60" s="307">
        <f t="shared" si="22"/>
        <v>0.14246659531857631</v>
      </c>
      <c r="I60" s="313">
        <f t="shared" ref="I60:J60" si="27">I42+I48+I54</f>
        <v>37749.199999999997</v>
      </c>
      <c r="J60" s="129">
        <f t="shared" si="27"/>
        <v>412385.1</v>
      </c>
      <c r="K60" s="307">
        <f t="shared" si="24"/>
        <v>0.14945588294478046</v>
      </c>
    </row>
    <row r="61" spans="1:11" ht="11.15" customHeight="1">
      <c r="A61" s="423"/>
      <c r="B61" s="423"/>
      <c r="C61" s="154" t="s">
        <v>92</v>
      </c>
      <c r="D61" s="313">
        <f>D55</f>
        <v>20</v>
      </c>
      <c r="E61" s="129">
        <f>E43+E49+E55</f>
        <v>1262.902</v>
      </c>
      <c r="F61" s="129">
        <f t="shared" si="26"/>
        <v>13741.53521</v>
      </c>
      <c r="G61" s="307">
        <f t="shared" si="21"/>
        <v>3.8836498838683204E-3</v>
      </c>
      <c r="H61" s="307">
        <f t="shared" si="22"/>
        <v>-5.734593201310579E-3</v>
      </c>
      <c r="I61" s="313">
        <f>I43+I49+I55</f>
        <v>1270.1859999999999</v>
      </c>
      <c r="J61" s="129">
        <f t="shared" ref="J61" si="28">J43+J49+J55</f>
        <v>13892.392670000001</v>
      </c>
      <c r="K61" s="307">
        <f t="shared" si="24"/>
        <v>5.0288951854370132E-3</v>
      </c>
    </row>
    <row r="62" spans="1:11" ht="11.15" customHeight="1">
      <c r="A62" s="424"/>
      <c r="B62" s="424"/>
      <c r="C62" s="318" t="s">
        <v>0</v>
      </c>
      <c r="D62" s="321">
        <f>SUM(D57:D61)</f>
        <v>215233</v>
      </c>
      <c r="E62" s="319">
        <f>SUM(E57:E61)</f>
        <v>325184.30799999996</v>
      </c>
      <c r="F62" s="319">
        <f>SUM(F57:F61)</f>
        <v>3549729.3692869996</v>
      </c>
      <c r="G62" s="320">
        <f>SUM(G57:G61)</f>
        <v>1</v>
      </c>
      <c r="H62" s="320">
        <f>(E62-I62)/I62</f>
        <v>0.28746325410677392</v>
      </c>
      <c r="I62" s="321">
        <f>SUM(I57:I61)</f>
        <v>252577.54499999987</v>
      </c>
      <c r="J62" s="319">
        <f>SUM(J57:J61)</f>
        <v>2761915.0247780005</v>
      </c>
      <c r="K62" s="320">
        <f>SUM(K57:K61)</f>
        <v>1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9"/>
  <dimension ref="A1:T120"/>
  <sheetViews>
    <sheetView showGridLines="0" topLeftCell="A19" zoomScaleNormal="100" zoomScaleSheetLayoutView="100" workbookViewId="0">
      <selection activeCell="D1" sqref="D1"/>
    </sheetView>
  </sheetViews>
  <sheetFormatPr defaultColWidth="9.1796875" defaultRowHeight="12.5"/>
  <cols>
    <col min="1" max="1" width="9.453125" style="84" customWidth="1"/>
    <col min="2" max="2" width="3.81640625" style="84" customWidth="1"/>
    <col min="3" max="11" width="9.54296875" style="84" customWidth="1"/>
    <col min="12" max="13" width="9.1796875" style="84"/>
    <col min="14" max="14" width="11.1796875" style="84" customWidth="1"/>
    <col min="15" max="16384" width="9.1796875" style="84"/>
  </cols>
  <sheetData>
    <row r="1" spans="1:16" s="102" customFormat="1" ht="18">
      <c r="A1" s="496" t="s">
        <v>305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s="102" customFormat="1" ht="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6" ht="3" customHeight="1">
      <c r="A3" s="516"/>
      <c r="B3" s="516"/>
      <c r="C3" s="516"/>
      <c r="D3" s="300"/>
      <c r="E3" s="300"/>
      <c r="F3" s="301"/>
      <c r="G3" s="302"/>
      <c r="H3" s="302"/>
      <c r="I3" s="302"/>
      <c r="J3" s="76"/>
      <c r="K3" s="76"/>
    </row>
    <row r="4" spans="1:16" ht="13" customHeight="1">
      <c r="A4" s="488" t="s">
        <v>46</v>
      </c>
      <c r="B4" s="488"/>
      <c r="C4" s="488"/>
      <c r="D4" s="482">
        <f>'3.1'!A4</f>
        <v>2024</v>
      </c>
      <c r="E4" s="353"/>
      <c r="F4" s="342"/>
      <c r="G4" s="342"/>
      <c r="H4" s="342"/>
      <c r="I4" s="482">
        <f>D4-1</f>
        <v>2023</v>
      </c>
      <c r="J4" s="483"/>
      <c r="K4" s="483"/>
    </row>
    <row r="5" spans="1:16" ht="25" customHeight="1">
      <c r="A5" s="354"/>
      <c r="B5" s="354"/>
      <c r="C5" s="354"/>
      <c r="D5" s="484"/>
      <c r="E5" s="355"/>
      <c r="F5" s="356"/>
      <c r="G5" s="356"/>
      <c r="H5" s="357"/>
      <c r="I5" s="484"/>
      <c r="J5" s="485"/>
      <c r="K5" s="485"/>
    </row>
    <row r="6" spans="1:16" ht="25" customHeight="1">
      <c r="A6" s="304"/>
      <c r="B6" s="272"/>
      <c r="C6" s="305"/>
      <c r="D6" s="364" t="s">
        <v>158</v>
      </c>
      <c r="E6" s="480" t="s">
        <v>60</v>
      </c>
      <c r="F6" s="480"/>
      <c r="G6" s="481" t="s">
        <v>33</v>
      </c>
      <c r="H6" s="481" t="s">
        <v>266</v>
      </c>
      <c r="I6" s="478" t="s">
        <v>60</v>
      </c>
      <c r="J6" s="479"/>
      <c r="K6" s="481" t="s">
        <v>33</v>
      </c>
    </row>
    <row r="7" spans="1:16" ht="25" customHeight="1">
      <c r="A7" s="304"/>
      <c r="B7" s="306"/>
      <c r="D7" s="365"/>
      <c r="E7" s="480"/>
      <c r="F7" s="480"/>
      <c r="G7" s="481"/>
      <c r="H7" s="481"/>
      <c r="I7" s="478"/>
      <c r="J7" s="479"/>
      <c r="K7" s="481"/>
    </row>
    <row r="8" spans="1:16" ht="15" customHeight="1">
      <c r="A8" s="489" t="s">
        <v>157</v>
      </c>
      <c r="B8" s="489"/>
      <c r="C8" s="323" t="s">
        <v>183</v>
      </c>
      <c r="D8" s="343"/>
      <c r="E8" s="219" t="s">
        <v>257</v>
      </c>
      <c r="F8" s="219" t="s">
        <v>258</v>
      </c>
      <c r="G8" s="467"/>
      <c r="H8" s="467"/>
      <c r="I8" s="221" t="s">
        <v>257</v>
      </c>
      <c r="J8" s="219" t="s">
        <v>258</v>
      </c>
      <c r="K8" s="467"/>
    </row>
    <row r="9" spans="1:16" ht="11.15" customHeight="1">
      <c r="A9" s="422" t="str">
        <f>'3.1'!D5</f>
        <v>Říjen</v>
      </c>
      <c r="B9" s="422"/>
      <c r="C9" s="164" t="s">
        <v>4</v>
      </c>
      <c r="D9" s="312">
        <v>83</v>
      </c>
      <c r="E9" s="308">
        <v>8920.0316010000006</v>
      </c>
      <c r="F9" s="308">
        <v>97688.188930000004</v>
      </c>
      <c r="G9" s="309">
        <f>E9/$E$14</f>
        <v>0.40949201324749862</v>
      </c>
      <c r="H9" s="309">
        <f>(E9-I9)/I9</f>
        <v>0.14093164894438781</v>
      </c>
      <c r="I9" s="312">
        <v>7818.199810000001</v>
      </c>
      <c r="J9" s="308">
        <v>85802.686359999978</v>
      </c>
      <c r="K9" s="309">
        <f>I9/$I$14</f>
        <v>0.46148929171364711</v>
      </c>
    </row>
    <row r="10" spans="1:16" ht="11.15" customHeight="1">
      <c r="A10" s="423"/>
      <c r="B10" s="423"/>
      <c r="C10" s="154" t="s">
        <v>5</v>
      </c>
      <c r="D10" s="313">
        <v>312</v>
      </c>
      <c r="E10" s="129">
        <v>2730.0685439999997</v>
      </c>
      <c r="F10" s="129">
        <v>29902.747524999999</v>
      </c>
      <c r="G10" s="307">
        <f>E10/$E$14</f>
        <v>0.12532929415417068</v>
      </c>
      <c r="H10" s="307">
        <f>(E10-I10)/I10</f>
        <v>0.3066460923094908</v>
      </c>
      <c r="I10" s="313">
        <v>2089.3710700000001</v>
      </c>
      <c r="J10" s="129">
        <v>22931.836909999998</v>
      </c>
      <c r="K10" s="307">
        <f>I10/$I$14</f>
        <v>0.12333048510578869</v>
      </c>
      <c r="L10" s="93"/>
      <c r="N10" s="93"/>
      <c r="O10" s="93"/>
      <c r="P10" s="93"/>
    </row>
    <row r="11" spans="1:16" ht="11.15" customHeight="1">
      <c r="A11" s="423"/>
      <c r="B11" s="423"/>
      <c r="C11" s="154" t="s">
        <v>6</v>
      </c>
      <c r="D11" s="313">
        <v>10624</v>
      </c>
      <c r="E11" s="129">
        <v>4021.2624060000003</v>
      </c>
      <c r="F11" s="129">
        <v>44040.704557000005</v>
      </c>
      <c r="G11" s="307">
        <f>E11/$E$14</f>
        <v>0.18460414851499138</v>
      </c>
      <c r="H11" s="307">
        <f t="shared" ref="H11:H13" si="0">(E11-I11)/I11</f>
        <v>0.47227808630016643</v>
      </c>
      <c r="I11" s="313">
        <v>2731.31988</v>
      </c>
      <c r="J11" s="129">
        <v>29974.69729</v>
      </c>
      <c r="K11" s="307">
        <f>I11/$I$14</f>
        <v>0.16122315974226853</v>
      </c>
      <c r="L11" s="93"/>
      <c r="N11" s="93"/>
      <c r="O11" s="93"/>
      <c r="P11" s="93"/>
    </row>
    <row r="12" spans="1:16" ht="11.15" customHeight="1">
      <c r="A12" s="423"/>
      <c r="B12" s="423"/>
      <c r="C12" s="154" t="s">
        <v>7</v>
      </c>
      <c r="D12" s="313">
        <v>106400</v>
      </c>
      <c r="E12" s="129">
        <v>5956.5152529999996</v>
      </c>
      <c r="F12" s="129">
        <v>65233.360786000005</v>
      </c>
      <c r="G12" s="307">
        <f>E12/$E$14</f>
        <v>0.27344582754807251</v>
      </c>
      <c r="H12" s="307">
        <f t="shared" si="0"/>
        <v>0.44819592120656654</v>
      </c>
      <c r="I12" s="313">
        <v>4113.0589899999995</v>
      </c>
      <c r="J12" s="129">
        <v>45137.208100000003</v>
      </c>
      <c r="K12" s="307">
        <f>I12/$I$14</f>
        <v>0.24278385385388973</v>
      </c>
      <c r="L12" s="93"/>
      <c r="N12" s="93"/>
      <c r="O12" s="93"/>
      <c r="P12" s="93"/>
    </row>
    <row r="13" spans="1:16" ht="11.15" customHeight="1">
      <c r="A13" s="423"/>
      <c r="B13" s="423"/>
      <c r="C13" s="154" t="s">
        <v>92</v>
      </c>
      <c r="D13" s="313">
        <v>15</v>
      </c>
      <c r="E13" s="129">
        <v>155.286</v>
      </c>
      <c r="F13" s="129">
        <v>1701.0385940000001</v>
      </c>
      <c r="G13" s="307">
        <f>E13/$E$14</f>
        <v>7.1287165352667981E-3</v>
      </c>
      <c r="H13" s="307">
        <f t="shared" si="0"/>
        <v>-0.17963103841764921</v>
      </c>
      <c r="I13" s="313">
        <v>189.28799999999998</v>
      </c>
      <c r="J13" s="129">
        <v>2077.6648399999999</v>
      </c>
      <c r="K13" s="307">
        <f>I13/$I$14</f>
        <v>1.1173209584405956E-2</v>
      </c>
      <c r="L13" s="93"/>
      <c r="N13" s="93"/>
      <c r="O13" s="93"/>
      <c r="P13" s="93"/>
    </row>
    <row r="14" spans="1:16" ht="11.15" customHeight="1">
      <c r="A14" s="424"/>
      <c r="B14" s="424"/>
      <c r="C14" s="318" t="s">
        <v>0</v>
      </c>
      <c r="D14" s="321">
        <v>117434</v>
      </c>
      <c r="E14" s="319">
        <v>21783.163804</v>
      </c>
      <c r="F14" s="319">
        <v>238566.04039200002</v>
      </c>
      <c r="G14" s="320">
        <f>SUM(G9:G13)</f>
        <v>1</v>
      </c>
      <c r="H14" s="320">
        <f>(E14-I14)/I14</f>
        <v>0.28580710131407011</v>
      </c>
      <c r="I14" s="321">
        <v>16941.23775</v>
      </c>
      <c r="J14" s="319">
        <v>185924.09349999999</v>
      </c>
      <c r="K14" s="320">
        <f>SUM(K9:K13)</f>
        <v>1</v>
      </c>
      <c r="L14" s="93"/>
    </row>
    <row r="15" spans="1:16" ht="11.15" customHeight="1">
      <c r="A15" s="422" t="str">
        <f>'3.1'!E5</f>
        <v>Listopad</v>
      </c>
      <c r="B15" s="422"/>
      <c r="C15" s="164" t="s">
        <v>4</v>
      </c>
      <c r="D15" s="312">
        <v>82</v>
      </c>
      <c r="E15" s="308">
        <v>9726.8585509999994</v>
      </c>
      <c r="F15" s="308">
        <v>106161.27289000001</v>
      </c>
      <c r="G15" s="309">
        <f>E15/$E$20</f>
        <v>0.29442148293485676</v>
      </c>
      <c r="H15" s="309">
        <f>(E15-I15)/I15</f>
        <v>7.0175620012406639E-2</v>
      </c>
      <c r="I15" s="312">
        <v>9089.0302199999987</v>
      </c>
      <c r="J15" s="308">
        <v>99367.238660000003</v>
      </c>
      <c r="K15" s="309">
        <f>I15/$I$20</f>
        <v>0.30998488618444631</v>
      </c>
      <c r="L15" s="93"/>
      <c r="M15" s="93"/>
    </row>
    <row r="16" spans="1:16" ht="11.15" customHeight="1">
      <c r="A16" s="423"/>
      <c r="B16" s="423"/>
      <c r="C16" s="154" t="s">
        <v>5</v>
      </c>
      <c r="D16" s="313">
        <v>311</v>
      </c>
      <c r="E16" s="129">
        <v>4137.5970509999997</v>
      </c>
      <c r="F16" s="129">
        <v>45155.937582999999</v>
      </c>
      <c r="G16" s="307">
        <f>E16/$E$20</f>
        <v>0.12524058545264541</v>
      </c>
      <c r="H16" s="307">
        <f>(E16-I16)/I16</f>
        <v>0.14164587275891291</v>
      </c>
      <c r="I16" s="313">
        <v>3624.2386100000003</v>
      </c>
      <c r="J16" s="129">
        <v>39623.907309999988</v>
      </c>
      <c r="K16" s="307">
        <f>I16/$I$20</f>
        <v>0.12360605761371603</v>
      </c>
      <c r="L16" s="97"/>
      <c r="M16" s="93"/>
    </row>
    <row r="17" spans="1:20" ht="11.15" customHeight="1">
      <c r="A17" s="423"/>
      <c r="B17" s="423"/>
      <c r="C17" s="154" t="s">
        <v>6</v>
      </c>
      <c r="D17" s="313">
        <v>10628</v>
      </c>
      <c r="E17" s="129">
        <v>7492.9185749999997</v>
      </c>
      <c r="F17" s="129">
        <v>81778.487206000005</v>
      </c>
      <c r="G17" s="307">
        <f>E17/$E$20</f>
        <v>0.226802537200958</v>
      </c>
      <c r="H17" s="307">
        <f t="shared" ref="H17:H20" si="1">(E17-I17)/I17</f>
        <v>0.17032541836812071</v>
      </c>
      <c r="I17" s="313">
        <v>6402.42317</v>
      </c>
      <c r="J17" s="129">
        <v>69993.344089999999</v>
      </c>
      <c r="K17" s="307">
        <f>I17/$I$20</f>
        <v>0.21835711507372588</v>
      </c>
      <c r="L17" s="93"/>
      <c r="M17" s="93"/>
      <c r="N17" s="93"/>
      <c r="O17" s="93"/>
    </row>
    <row r="18" spans="1:20" ht="11.15" customHeight="1">
      <c r="A18" s="423"/>
      <c r="B18" s="423"/>
      <c r="C18" s="154" t="s">
        <v>7</v>
      </c>
      <c r="D18" s="313">
        <v>106342</v>
      </c>
      <c r="E18" s="129">
        <v>11522.355092</v>
      </c>
      <c r="F18" s="129">
        <v>125758.896419</v>
      </c>
      <c r="G18" s="307">
        <f>E18/$E$20</f>
        <v>0.34876922032960672</v>
      </c>
      <c r="H18" s="307">
        <f t="shared" si="1"/>
        <v>0.14939961392296155</v>
      </c>
      <c r="I18" s="313">
        <v>10024.672840000001</v>
      </c>
      <c r="J18" s="129">
        <v>109588.47152000001</v>
      </c>
      <c r="K18" s="307">
        <f>I18/$I$20</f>
        <v>0.34189533912053721</v>
      </c>
      <c r="L18" s="93"/>
      <c r="M18" s="93"/>
      <c r="N18" s="93"/>
      <c r="O18" s="93"/>
    </row>
    <row r="19" spans="1:20" ht="11.15" customHeight="1">
      <c r="A19" s="423"/>
      <c r="B19" s="423"/>
      <c r="C19" s="154" t="s">
        <v>92</v>
      </c>
      <c r="D19" s="313">
        <v>15</v>
      </c>
      <c r="E19" s="129">
        <v>157.46100000000001</v>
      </c>
      <c r="F19" s="129">
        <v>1718.3133539999999</v>
      </c>
      <c r="G19" s="307">
        <f>E19/$E$20</f>
        <v>4.7661740819330937E-3</v>
      </c>
      <c r="H19" s="307">
        <f t="shared" si="1"/>
        <v>-0.12772204279929306</v>
      </c>
      <c r="I19" s="313">
        <v>180.517</v>
      </c>
      <c r="J19" s="129">
        <v>1973.9449099999999</v>
      </c>
      <c r="K19" s="307">
        <f>I19/$I$20</f>
        <v>6.156602007574544E-3</v>
      </c>
      <c r="L19" s="93"/>
      <c r="M19" s="93"/>
      <c r="N19" s="93"/>
      <c r="O19" s="93"/>
    </row>
    <row r="20" spans="1:20" ht="11.15" customHeight="1">
      <c r="A20" s="424"/>
      <c r="B20" s="424"/>
      <c r="C20" s="318" t="s">
        <v>0</v>
      </c>
      <c r="D20" s="321">
        <v>117378</v>
      </c>
      <c r="E20" s="319">
        <v>33037.190268999999</v>
      </c>
      <c r="F20" s="319">
        <v>360572.90745200001</v>
      </c>
      <c r="G20" s="320">
        <f>SUM(G15:G19)</f>
        <v>1</v>
      </c>
      <c r="H20" s="320">
        <f t="shared" si="1"/>
        <v>0.12674613435159893</v>
      </c>
      <c r="I20" s="321">
        <v>29320.881840000002</v>
      </c>
      <c r="J20" s="319">
        <v>320546.90649000002</v>
      </c>
      <c r="K20" s="320">
        <f>SUM(K15:K19)</f>
        <v>1</v>
      </c>
      <c r="L20" s="93"/>
      <c r="M20" s="93"/>
      <c r="N20" s="93"/>
      <c r="O20" s="93"/>
    </row>
    <row r="21" spans="1:20" ht="11.15" customHeight="1">
      <c r="A21" s="422" t="str">
        <f>'3.1'!F5</f>
        <v>Prosinec</v>
      </c>
      <c r="B21" s="422"/>
      <c r="C21" s="164" t="s">
        <v>4</v>
      </c>
      <c r="D21" s="312">
        <v>81</v>
      </c>
      <c r="E21" s="308">
        <v>9667.2329800000007</v>
      </c>
      <c r="F21" s="308">
        <v>105236.17095099999</v>
      </c>
      <c r="G21" s="309">
        <f>E21/$E$26</f>
        <v>0.25464818481862594</v>
      </c>
      <c r="H21" s="309">
        <f>(E21-I21)/I21</f>
        <v>4.7069101582000741E-2</v>
      </c>
      <c r="I21" s="312">
        <v>9232.6599699999988</v>
      </c>
      <c r="J21" s="308">
        <v>100690.44690999996</v>
      </c>
      <c r="K21" s="309">
        <f>I21/$I$26</f>
        <v>0.25525698485268866</v>
      </c>
      <c r="L21" s="88"/>
      <c r="M21" s="88"/>
      <c r="N21" s="88"/>
      <c r="O21" s="88"/>
      <c r="P21" s="88"/>
      <c r="Q21" s="88"/>
      <c r="R21" s="88"/>
      <c r="S21" s="88"/>
      <c r="T21" s="88"/>
    </row>
    <row r="22" spans="1:20" ht="11.15" customHeight="1">
      <c r="A22" s="423"/>
      <c r="B22" s="423"/>
      <c r="C22" s="154" t="s">
        <v>5</v>
      </c>
      <c r="D22" s="313">
        <v>312</v>
      </c>
      <c r="E22" s="129">
        <v>4532.1555710000002</v>
      </c>
      <c r="F22" s="129">
        <v>49335.405188000004</v>
      </c>
      <c r="G22" s="307">
        <f>E22/$E$26</f>
        <v>0.11938319805247657</v>
      </c>
      <c r="H22" s="307">
        <f t="shared" ref="H22:H26" si="2">(E22-I22)/I22</f>
        <v>3.6831760961326017E-2</v>
      </c>
      <c r="I22" s="313">
        <v>4371.158120000001</v>
      </c>
      <c r="J22" s="129">
        <v>47672.738130000012</v>
      </c>
      <c r="K22" s="307">
        <f>I22/$I$26</f>
        <v>0.12085018246648885</v>
      </c>
      <c r="L22" s="88"/>
      <c r="M22" s="88"/>
      <c r="N22" s="88"/>
      <c r="O22" s="88"/>
      <c r="P22" s="88"/>
      <c r="Q22" s="88"/>
      <c r="R22" s="88"/>
      <c r="S22" s="88"/>
      <c r="T22" s="88"/>
    </row>
    <row r="23" spans="1:20" ht="11.15" customHeight="1">
      <c r="A23" s="423"/>
      <c r="B23" s="423"/>
      <c r="C23" s="154" t="s">
        <v>6</v>
      </c>
      <c r="D23" s="313">
        <v>10623</v>
      </c>
      <c r="E23" s="129">
        <v>9122.9560270000002</v>
      </c>
      <c r="F23" s="129">
        <v>99311.187359000003</v>
      </c>
      <c r="G23" s="307">
        <f>E23/$E$26</f>
        <v>0.24031118286503669</v>
      </c>
      <c r="H23" s="307">
        <f t="shared" si="2"/>
        <v>6.0472333980654776E-2</v>
      </c>
      <c r="I23" s="313">
        <v>8602.7289299999993</v>
      </c>
      <c r="J23" s="129">
        <v>93820.349490000037</v>
      </c>
      <c r="K23" s="307">
        <f>I23/$I$26</f>
        <v>0.23784116985917728</v>
      </c>
      <c r="L23" s="88"/>
      <c r="M23" s="88"/>
      <c r="N23" s="88"/>
      <c r="O23" s="88"/>
      <c r="P23" s="88"/>
      <c r="Q23" s="88"/>
      <c r="R23" s="88"/>
      <c r="S23" s="88"/>
      <c r="T23" s="88"/>
    </row>
    <row r="24" spans="1:20" ht="11.15" customHeight="1">
      <c r="A24" s="423"/>
      <c r="B24" s="423"/>
      <c r="C24" s="154" t="s">
        <v>7</v>
      </c>
      <c r="D24" s="313">
        <v>106167</v>
      </c>
      <c r="E24" s="129">
        <v>14510.196432999999</v>
      </c>
      <c r="F24" s="129">
        <v>157958.76808800001</v>
      </c>
      <c r="G24" s="307">
        <f>E24/$E$26</f>
        <v>0.3822184890619188</v>
      </c>
      <c r="H24" s="307">
        <f t="shared" si="2"/>
        <v>5.0883766762447359E-2</v>
      </c>
      <c r="I24" s="313">
        <v>13807.613069999999</v>
      </c>
      <c r="J24" s="129">
        <v>150582.63681999996</v>
      </c>
      <c r="K24" s="307">
        <f>I24/$I$26</f>
        <v>0.38174152321357246</v>
      </c>
      <c r="L24" s="88"/>
      <c r="M24" s="88"/>
      <c r="N24" s="88"/>
      <c r="O24" s="88"/>
      <c r="P24" s="88"/>
      <c r="Q24" s="88"/>
      <c r="R24" s="88"/>
      <c r="S24" s="88"/>
      <c r="T24" s="88"/>
    </row>
    <row r="25" spans="1:20" ht="11.15" customHeight="1">
      <c r="A25" s="423"/>
      <c r="B25" s="423"/>
      <c r="C25" s="154" t="s">
        <v>92</v>
      </c>
      <c r="D25" s="313">
        <v>15</v>
      </c>
      <c r="E25" s="129">
        <v>130.553</v>
      </c>
      <c r="F25" s="129">
        <v>1421.1876119999999</v>
      </c>
      <c r="G25" s="307">
        <f>E25/$E$26</f>
        <v>3.4389452019419598E-3</v>
      </c>
      <c r="H25" s="307">
        <f t="shared" si="2"/>
        <v>-0.16257424726423686</v>
      </c>
      <c r="I25" s="313">
        <v>155.898</v>
      </c>
      <c r="J25" s="129">
        <v>1700.2295000000001</v>
      </c>
      <c r="K25" s="307">
        <f>I25/$I$26</f>
        <v>4.3101396080727165E-3</v>
      </c>
      <c r="L25" s="88"/>
      <c r="M25" s="88"/>
      <c r="N25" s="88"/>
      <c r="O25" s="88"/>
      <c r="P25" s="88"/>
      <c r="Q25" s="88"/>
      <c r="R25" s="88"/>
      <c r="S25" s="88"/>
      <c r="T25" s="88"/>
    </row>
    <row r="26" spans="1:20" ht="11.15" customHeight="1">
      <c r="A26" s="424"/>
      <c r="B26" s="424"/>
      <c r="C26" s="318" t="s">
        <v>0</v>
      </c>
      <c r="D26" s="321">
        <v>117198</v>
      </c>
      <c r="E26" s="319">
        <v>37963.094011000001</v>
      </c>
      <c r="F26" s="319">
        <v>413262.71919799998</v>
      </c>
      <c r="G26" s="320">
        <f>SUM(G21:G25)</f>
        <v>1</v>
      </c>
      <c r="H26" s="320">
        <f t="shared" si="2"/>
        <v>4.9572381568713221E-2</v>
      </c>
      <c r="I26" s="321">
        <v>36170.058089999999</v>
      </c>
      <c r="J26" s="319">
        <v>394466.40084999998</v>
      </c>
      <c r="K26" s="320">
        <f>SUM(K21:K25)</f>
        <v>0.99999999999999989</v>
      </c>
    </row>
    <row r="27" spans="1:20" ht="11.15" customHeight="1">
      <c r="A27" s="492" t="str">
        <f>'3.1'!G5</f>
        <v>IV. čtvrtletí</v>
      </c>
      <c r="B27" s="422"/>
      <c r="C27" s="164" t="s">
        <v>4</v>
      </c>
      <c r="D27" s="312">
        <f>D21</f>
        <v>81</v>
      </c>
      <c r="E27" s="308">
        <f>E9+E15+E21</f>
        <v>28314.123132000001</v>
      </c>
      <c r="F27" s="308">
        <f>F9+F15+F21</f>
        <v>309085.63277100003</v>
      </c>
      <c r="G27" s="309">
        <f>E27/$E$32</f>
        <v>0.30516351479378373</v>
      </c>
      <c r="H27" s="309">
        <f>(E27-I27)/I27</f>
        <v>8.3176827905549769E-2</v>
      </c>
      <c r="I27" s="312">
        <f>I9+I15+I21</f>
        <v>26139.89</v>
      </c>
      <c r="J27" s="308">
        <f>J9+J15+J21</f>
        <v>285860.37192999991</v>
      </c>
      <c r="K27" s="309">
        <f>I27/$I$32</f>
        <v>0.31710784229763422</v>
      </c>
    </row>
    <row r="28" spans="1:20" ht="11.15" customHeight="1">
      <c r="A28" s="423"/>
      <c r="B28" s="423"/>
      <c r="C28" s="154" t="s">
        <v>5</v>
      </c>
      <c r="D28" s="313">
        <f>D22</f>
        <v>312</v>
      </c>
      <c r="E28" s="129">
        <f t="shared" ref="E28:F31" si="3">E10+E16+E22</f>
        <v>11399.821166</v>
      </c>
      <c r="F28" s="129">
        <f t="shared" si="3"/>
        <v>124394.09029600001</v>
      </c>
      <c r="G28" s="307">
        <f>E28/$E$32</f>
        <v>0.12286481480704786</v>
      </c>
      <c r="H28" s="307">
        <f t="shared" ref="H28:H31" si="4">(E28-I28)/I28</f>
        <v>0.13039996478649693</v>
      </c>
      <c r="I28" s="313">
        <f t="shared" ref="I28:J28" si="5">I10+I16+I22</f>
        <v>10084.767800000001</v>
      </c>
      <c r="J28" s="129">
        <f t="shared" si="5"/>
        <v>110228.48235000001</v>
      </c>
      <c r="K28" s="307">
        <f>I28/$I$32</f>
        <v>0.12234018418327927</v>
      </c>
    </row>
    <row r="29" spans="1:20" ht="11.15" customHeight="1">
      <c r="A29" s="423"/>
      <c r="B29" s="423"/>
      <c r="C29" s="154" t="s">
        <v>6</v>
      </c>
      <c r="D29" s="313">
        <f>D23</f>
        <v>10623</v>
      </c>
      <c r="E29" s="129">
        <f t="shared" si="3"/>
        <v>20637.137007999998</v>
      </c>
      <c r="F29" s="129">
        <f t="shared" si="3"/>
        <v>225130.37912200001</v>
      </c>
      <c r="G29" s="307">
        <f>E29/$E$32</f>
        <v>0.22242261345274103</v>
      </c>
      <c r="H29" s="307">
        <f t="shared" si="4"/>
        <v>0.1635423905763696</v>
      </c>
      <c r="I29" s="313">
        <f t="shared" ref="I29:J29" si="6">I11+I17+I23</f>
        <v>17736.471980000002</v>
      </c>
      <c r="J29" s="129">
        <f t="shared" si="6"/>
        <v>193788.39087000003</v>
      </c>
      <c r="K29" s="307">
        <f>I29/$I$32</f>
        <v>0.21516442339850123</v>
      </c>
    </row>
    <row r="30" spans="1:20" ht="11.15" customHeight="1">
      <c r="A30" s="423"/>
      <c r="B30" s="423"/>
      <c r="C30" s="154" t="s">
        <v>7</v>
      </c>
      <c r="D30" s="313">
        <f>D24</f>
        <v>106167</v>
      </c>
      <c r="E30" s="129">
        <f t="shared" si="3"/>
        <v>31989.066778</v>
      </c>
      <c r="F30" s="129">
        <f t="shared" si="3"/>
        <v>348951.02529300004</v>
      </c>
      <c r="G30" s="307">
        <f>E30/$E$32</f>
        <v>0.34477126511874417</v>
      </c>
      <c r="H30" s="307">
        <f t="shared" si="4"/>
        <v>0.14470109037731005</v>
      </c>
      <c r="I30" s="313">
        <f t="shared" ref="I30:J30" si="7">I12+I18+I24</f>
        <v>27945.3449</v>
      </c>
      <c r="J30" s="129">
        <f t="shared" si="7"/>
        <v>305308.31643999997</v>
      </c>
      <c r="K30" s="307">
        <f>I30/$I$32</f>
        <v>0.33901014975587873</v>
      </c>
    </row>
    <row r="31" spans="1:20" ht="11.15" customHeight="1">
      <c r="A31" s="423"/>
      <c r="B31" s="423"/>
      <c r="C31" s="154" t="s">
        <v>92</v>
      </c>
      <c r="D31" s="313">
        <f>D25</f>
        <v>15</v>
      </c>
      <c r="E31" s="129">
        <f>E13+E19+E25</f>
        <v>443.3</v>
      </c>
      <c r="F31" s="129">
        <f t="shared" si="3"/>
        <v>4840.5395600000002</v>
      </c>
      <c r="G31" s="307">
        <f>E31/$E$32</f>
        <v>4.7777918276831607E-3</v>
      </c>
      <c r="H31" s="307">
        <f t="shared" si="4"/>
        <v>-0.15674820193150879</v>
      </c>
      <c r="I31" s="313">
        <f>I13+I19+I25</f>
        <v>525.70299999999997</v>
      </c>
      <c r="J31" s="129">
        <f t="shared" ref="J31" si="8">J13+J19+J25</f>
        <v>5751.83925</v>
      </c>
      <c r="K31" s="307">
        <f>I31/$I$32</f>
        <v>6.3774003647067059E-3</v>
      </c>
    </row>
    <row r="32" spans="1:20" ht="11.15" customHeight="1">
      <c r="A32" s="424"/>
      <c r="B32" s="424"/>
      <c r="C32" s="318" t="s">
        <v>0</v>
      </c>
      <c r="D32" s="321">
        <f>SUM(D27:D31)</f>
        <v>117198</v>
      </c>
      <c r="E32" s="319">
        <f>SUM(E27:E31)</f>
        <v>92783.448084000003</v>
      </c>
      <c r="F32" s="319">
        <f>SUM(F27:F31)</f>
        <v>1012401.667042</v>
      </c>
      <c r="G32" s="320">
        <f>SUM(G27:G31)</f>
        <v>0.99999999999999989</v>
      </c>
      <c r="H32" s="320">
        <f>(E32-I32)/I32</f>
        <v>0.12557317658382661</v>
      </c>
      <c r="I32" s="321">
        <f>SUM(I27:I31)</f>
        <v>82432.177679999993</v>
      </c>
      <c r="J32" s="319">
        <f>SUM(J27:J31)</f>
        <v>900937.4008399999</v>
      </c>
      <c r="K32" s="320">
        <f>SUM(K27:K31)</f>
        <v>1.0000000000000002</v>
      </c>
    </row>
    <row r="33" spans="1:11" ht="10" customHeight="1">
      <c r="A33" s="358"/>
      <c r="B33" s="359"/>
      <c r="C33" s="360"/>
      <c r="D33" s="361"/>
      <c r="E33" s="361"/>
      <c r="F33" s="361"/>
      <c r="G33" s="362"/>
      <c r="H33" s="363"/>
      <c r="I33" s="361"/>
      <c r="J33" s="361"/>
      <c r="K33" s="362"/>
    </row>
    <row r="34" spans="1:11" ht="13" customHeight="1">
      <c r="A34" s="517" t="s">
        <v>47</v>
      </c>
      <c r="B34" s="517"/>
      <c r="C34" s="517"/>
      <c r="D34" s="482">
        <f>D4</f>
        <v>2024</v>
      </c>
      <c r="E34" s="353"/>
      <c r="F34" s="342"/>
      <c r="G34" s="342"/>
      <c r="H34" s="342"/>
      <c r="I34" s="482">
        <f>D34-1</f>
        <v>2023</v>
      </c>
      <c r="J34" s="483"/>
      <c r="K34" s="483"/>
    </row>
    <row r="35" spans="1:11" ht="25" customHeight="1">
      <c r="A35" s="304"/>
      <c r="B35" s="272"/>
      <c r="C35" s="150"/>
      <c r="D35" s="484"/>
      <c r="E35" s="355"/>
      <c r="F35" s="356"/>
      <c r="G35" s="356"/>
      <c r="H35" s="357"/>
      <c r="I35" s="484"/>
      <c r="J35" s="485"/>
      <c r="K35" s="485"/>
    </row>
    <row r="36" spans="1:11" ht="25" customHeight="1">
      <c r="A36" s="130"/>
      <c r="B36" s="131"/>
      <c r="C36" s="352"/>
      <c r="D36" s="364" t="s">
        <v>158</v>
      </c>
      <c r="E36" s="480" t="s">
        <v>60</v>
      </c>
      <c r="F36" s="480"/>
      <c r="G36" s="481" t="s">
        <v>33</v>
      </c>
      <c r="H36" s="481" t="s">
        <v>266</v>
      </c>
      <c r="I36" s="478" t="s">
        <v>60</v>
      </c>
      <c r="J36" s="479"/>
      <c r="K36" s="481" t="s">
        <v>33</v>
      </c>
    </row>
    <row r="37" spans="1:11" ht="25" customHeight="1">
      <c r="A37" s="130"/>
      <c r="B37" s="306"/>
      <c r="C37" s="306"/>
      <c r="D37" s="365"/>
      <c r="E37" s="480"/>
      <c r="F37" s="480"/>
      <c r="G37" s="481"/>
      <c r="H37" s="481"/>
      <c r="I37" s="478"/>
      <c r="J37" s="479"/>
      <c r="K37" s="481"/>
    </row>
    <row r="38" spans="1:11" ht="15" customHeight="1">
      <c r="A38" s="518" t="s">
        <v>157</v>
      </c>
      <c r="B38" s="518"/>
      <c r="C38" s="366" t="s">
        <v>183</v>
      </c>
      <c r="D38" s="343"/>
      <c r="E38" s="219" t="s">
        <v>257</v>
      </c>
      <c r="F38" s="219" t="s">
        <v>258</v>
      </c>
      <c r="G38" s="467"/>
      <c r="H38" s="467"/>
      <c r="I38" s="221" t="s">
        <v>257</v>
      </c>
      <c r="J38" s="219" t="s">
        <v>258</v>
      </c>
      <c r="K38" s="467"/>
    </row>
    <row r="39" spans="1:11" ht="11.15" customHeight="1">
      <c r="A39" s="422" t="str">
        <f>'3.1'!D5</f>
        <v>Říjen</v>
      </c>
      <c r="B39" s="422"/>
      <c r="C39" s="164" t="s">
        <v>4</v>
      </c>
      <c r="D39" s="312">
        <v>72</v>
      </c>
      <c r="E39" s="308">
        <v>10111.545</v>
      </c>
      <c r="F39" s="308">
        <v>110726.72947000001</v>
      </c>
      <c r="G39" s="309">
        <f>E39/$E$44</f>
        <v>0.3944229471491596</v>
      </c>
      <c r="H39" s="309">
        <f>(E39-I39)/I39</f>
        <v>0.14878477482657529</v>
      </c>
      <c r="I39" s="312">
        <v>8801.9490000000005</v>
      </c>
      <c r="J39" s="308">
        <v>96582.291809999995</v>
      </c>
      <c r="K39" s="309">
        <f>I39/$I$44</f>
        <v>0.44506661879888959</v>
      </c>
    </row>
    <row r="40" spans="1:11" ht="11.15" customHeight="1">
      <c r="A40" s="423"/>
      <c r="B40" s="423"/>
      <c r="C40" s="154" t="s">
        <v>5</v>
      </c>
      <c r="D40" s="313">
        <v>298</v>
      </c>
      <c r="E40" s="129">
        <v>2353.04</v>
      </c>
      <c r="F40" s="129">
        <v>25767.502469999999</v>
      </c>
      <c r="G40" s="307">
        <f t="shared" ref="G40" si="9">E40/$E$44</f>
        <v>9.1785476063238461E-2</v>
      </c>
      <c r="H40" s="307">
        <f>(E40-I40)/I40</f>
        <v>0.23967656213450447</v>
      </c>
      <c r="I40" s="313">
        <v>1898.1079999999999</v>
      </c>
      <c r="J40" s="129">
        <v>20827.290989999983</v>
      </c>
      <c r="K40" s="307">
        <f t="shared" ref="K40:K43" si="10">I40/$I$44</f>
        <v>9.5976983015366557E-2</v>
      </c>
    </row>
    <row r="41" spans="1:11" ht="11.15" customHeight="1">
      <c r="A41" s="423"/>
      <c r="B41" s="423"/>
      <c r="C41" s="154" t="s">
        <v>6</v>
      </c>
      <c r="D41" s="313">
        <v>10602</v>
      </c>
      <c r="E41" s="129">
        <v>4543.5150000000003</v>
      </c>
      <c r="F41" s="129">
        <v>49753.299359999997</v>
      </c>
      <c r="G41" s="307">
        <f>E41/$E$44</f>
        <v>0.177229748442638</v>
      </c>
      <c r="H41" s="307">
        <f t="shared" ref="H41:H43" si="11">(E41-I41)/I41</f>
        <v>0.47780999267521268</v>
      </c>
      <c r="I41" s="313">
        <v>3074.4920000000002</v>
      </c>
      <c r="J41" s="129">
        <v>33735.937620000004</v>
      </c>
      <c r="K41" s="307">
        <f t="shared" si="10"/>
        <v>0.15546031441039204</v>
      </c>
    </row>
    <row r="42" spans="1:11" ht="11.15" customHeight="1">
      <c r="A42" s="423"/>
      <c r="B42" s="423"/>
      <c r="C42" s="154" t="s">
        <v>7</v>
      </c>
      <c r="D42" s="313">
        <v>140680</v>
      </c>
      <c r="E42" s="129">
        <v>8409.9</v>
      </c>
      <c r="F42" s="129">
        <v>92092.800000000003</v>
      </c>
      <c r="G42" s="307">
        <f>E42/$E$44</f>
        <v>0.32804655898082014</v>
      </c>
      <c r="H42" s="307">
        <f t="shared" si="11"/>
        <v>0.44935803532959923</v>
      </c>
      <c r="I42" s="313">
        <v>5802.5</v>
      </c>
      <c r="J42" s="129">
        <v>63670</v>
      </c>
      <c r="K42" s="307">
        <f t="shared" si="10"/>
        <v>0.29340082015705349</v>
      </c>
    </row>
    <row r="43" spans="1:11" ht="11.15" customHeight="1">
      <c r="A43" s="423"/>
      <c r="B43" s="423"/>
      <c r="C43" s="154" t="s">
        <v>92</v>
      </c>
      <c r="D43" s="313">
        <v>11</v>
      </c>
      <c r="E43" s="129">
        <v>218.3</v>
      </c>
      <c r="F43" s="129">
        <v>2390.4964</v>
      </c>
      <c r="G43" s="307">
        <f>E43/$E$44</f>
        <v>8.515269364143813E-3</v>
      </c>
      <c r="H43" s="307">
        <f t="shared" si="11"/>
        <v>9.3407996954685921E-2</v>
      </c>
      <c r="I43" s="313">
        <v>199.65100000000001</v>
      </c>
      <c r="J43" s="129">
        <v>2190.7269899999997</v>
      </c>
      <c r="K43" s="307">
        <f t="shared" si="10"/>
        <v>1.00952636182983E-2</v>
      </c>
    </row>
    <row r="44" spans="1:11" ht="11.15" customHeight="1">
      <c r="A44" s="424"/>
      <c r="B44" s="424"/>
      <c r="C44" s="318" t="s">
        <v>0</v>
      </c>
      <c r="D44" s="321">
        <v>151663</v>
      </c>
      <c r="E44" s="319">
        <v>25636.3</v>
      </c>
      <c r="F44" s="319">
        <v>280730.82770000002</v>
      </c>
      <c r="G44" s="320">
        <f>SUM(G39:G43)</f>
        <v>1</v>
      </c>
      <c r="H44" s="320">
        <f>(E44-I44)/I44</f>
        <v>0.29628805614687981</v>
      </c>
      <c r="I44" s="321">
        <v>19776.7</v>
      </c>
      <c r="J44" s="319">
        <v>217006.24740999998</v>
      </c>
      <c r="K44" s="320">
        <f>SUM(K39:K43)</f>
        <v>1</v>
      </c>
    </row>
    <row r="45" spans="1:11" ht="11.15" customHeight="1">
      <c r="A45" s="422" t="str">
        <f>'3.1'!E5</f>
        <v>Listopad</v>
      </c>
      <c r="B45" s="422"/>
      <c r="C45" s="164" t="s">
        <v>4</v>
      </c>
      <c r="D45" s="312">
        <v>72</v>
      </c>
      <c r="E45" s="308">
        <v>12420.225</v>
      </c>
      <c r="F45" s="308">
        <v>135567.51311</v>
      </c>
      <c r="G45" s="309">
        <f>E45/$E$50</f>
        <v>0.30424502303842677</v>
      </c>
      <c r="H45" s="309">
        <f>(E45-I45)/I45</f>
        <v>2.4955227102692237E-2</v>
      </c>
      <c r="I45" s="312">
        <v>12117.822</v>
      </c>
      <c r="J45" s="308">
        <v>132454.34240999998</v>
      </c>
      <c r="K45" s="309">
        <f>I45/$I$50</f>
        <v>0.32684970303118571</v>
      </c>
    </row>
    <row r="46" spans="1:11" ht="11.15" customHeight="1">
      <c r="A46" s="423"/>
      <c r="B46" s="423"/>
      <c r="C46" s="154" t="s">
        <v>5</v>
      </c>
      <c r="D46" s="313">
        <v>298</v>
      </c>
      <c r="E46" s="129">
        <v>3432.788</v>
      </c>
      <c r="F46" s="129">
        <v>37468.744129999999</v>
      </c>
      <c r="G46" s="307">
        <f t="shared" ref="G46:G49" si="12">E46/$E$50</f>
        <v>8.4089351372139784E-2</v>
      </c>
      <c r="H46" s="307">
        <f>(E46-I46)/I46</f>
        <v>2.9909111583277796E-2</v>
      </c>
      <c r="I46" s="313">
        <v>3333.098</v>
      </c>
      <c r="J46" s="129">
        <v>36432.375020000029</v>
      </c>
      <c r="K46" s="307">
        <f t="shared" ref="K46:K49" si="13">I46/$I$50</f>
        <v>8.9902466918051691E-2</v>
      </c>
    </row>
    <row r="47" spans="1:11" ht="11.15" customHeight="1">
      <c r="A47" s="423"/>
      <c r="B47" s="423"/>
      <c r="C47" s="154" t="s">
        <v>6</v>
      </c>
      <c r="D47" s="313">
        <v>10600</v>
      </c>
      <c r="E47" s="129">
        <v>8448.5650000000005</v>
      </c>
      <c r="F47" s="129">
        <v>92216.225139999995</v>
      </c>
      <c r="G47" s="307">
        <f t="shared" si="12"/>
        <v>0.20695549823506787</v>
      </c>
      <c r="H47" s="307">
        <f t="shared" ref="H47:H49" si="14">(E47-I47)/I47</f>
        <v>0.17031502197241408</v>
      </c>
      <c r="I47" s="313">
        <v>7219.0520000000006</v>
      </c>
      <c r="J47" s="129">
        <v>78908.57849</v>
      </c>
      <c r="K47" s="307">
        <f t="shared" si="13"/>
        <v>0.1947169220976086</v>
      </c>
    </row>
    <row r="48" spans="1:11" ht="11.15" customHeight="1">
      <c r="A48" s="423"/>
      <c r="B48" s="423"/>
      <c r="C48" s="154" t="s">
        <v>7</v>
      </c>
      <c r="D48" s="313">
        <v>140604</v>
      </c>
      <c r="E48" s="129">
        <v>16306.9</v>
      </c>
      <c r="F48" s="129">
        <v>177990.39999999999</v>
      </c>
      <c r="G48" s="307">
        <f t="shared" si="12"/>
        <v>0.39945276081434278</v>
      </c>
      <c r="H48" s="307">
        <f t="shared" si="14"/>
        <v>0.14753279288408491</v>
      </c>
      <c r="I48" s="313">
        <v>14210.4</v>
      </c>
      <c r="J48" s="129">
        <v>155328.29999999999</v>
      </c>
      <c r="K48" s="307">
        <f t="shared" si="13"/>
        <v>0.38329206518748676</v>
      </c>
    </row>
    <row r="49" spans="1:11" ht="11.15" customHeight="1">
      <c r="A49" s="423"/>
      <c r="B49" s="423"/>
      <c r="C49" s="154" t="s">
        <v>92</v>
      </c>
      <c r="D49" s="313">
        <v>11</v>
      </c>
      <c r="E49" s="129">
        <v>214.62200000000001</v>
      </c>
      <c r="F49" s="129">
        <v>2342.6085600000001</v>
      </c>
      <c r="G49" s="307">
        <f t="shared" si="12"/>
        <v>5.2573665400226831E-3</v>
      </c>
      <c r="H49" s="307">
        <f t="shared" si="14"/>
        <v>0.10500030891529545</v>
      </c>
      <c r="I49" s="313">
        <v>194.22800000000001</v>
      </c>
      <c r="J49" s="129">
        <v>2123.0240199999994</v>
      </c>
      <c r="K49" s="307">
        <f t="shared" si="13"/>
        <v>5.2388427656670598E-3</v>
      </c>
    </row>
    <row r="50" spans="1:11" ht="11.15" customHeight="1">
      <c r="A50" s="424"/>
      <c r="B50" s="424"/>
      <c r="C50" s="318" t="s">
        <v>0</v>
      </c>
      <c r="D50" s="321">
        <v>151585</v>
      </c>
      <c r="E50" s="319">
        <v>40823.100000000006</v>
      </c>
      <c r="F50" s="319">
        <v>445585.49093999999</v>
      </c>
      <c r="G50" s="320">
        <f>SUM(G45:G49)</f>
        <v>0.99999999999999989</v>
      </c>
      <c r="H50" s="320">
        <f t="shared" ref="H50" si="15">(E50-I50)/I50</f>
        <v>0.1011069573238821</v>
      </c>
      <c r="I50" s="321">
        <v>37074.600000000006</v>
      </c>
      <c r="J50" s="319">
        <v>405246.61994</v>
      </c>
      <c r="K50" s="320">
        <f>SUM(K45:K49)</f>
        <v>0.99999999999999978</v>
      </c>
    </row>
    <row r="51" spans="1:11" ht="11.15" customHeight="1">
      <c r="A51" s="422" t="str">
        <f>'3.1'!F5</f>
        <v>Prosinec</v>
      </c>
      <c r="B51" s="422"/>
      <c r="C51" s="164" t="s">
        <v>4</v>
      </c>
      <c r="D51" s="312">
        <v>72</v>
      </c>
      <c r="E51" s="308">
        <v>13923.342000000001</v>
      </c>
      <c r="F51" s="308">
        <v>151576.50863999999</v>
      </c>
      <c r="G51" s="309">
        <f>E51/$E$56</f>
        <v>0.28619231536085082</v>
      </c>
      <c r="H51" s="309">
        <f>(E51-I51)/I51</f>
        <v>8.689090172180905E-2</v>
      </c>
      <c r="I51" s="312">
        <v>12810.248</v>
      </c>
      <c r="J51" s="308">
        <v>139702.39032999999</v>
      </c>
      <c r="K51" s="309">
        <f>I51/$I$56</f>
        <v>0.27877879407111439</v>
      </c>
    </row>
    <row r="52" spans="1:11" ht="11.15" customHeight="1">
      <c r="A52" s="423"/>
      <c r="B52" s="423"/>
      <c r="C52" s="154" t="s">
        <v>5</v>
      </c>
      <c r="D52" s="313">
        <v>296</v>
      </c>
      <c r="E52" s="129">
        <v>3746.0830000000001</v>
      </c>
      <c r="F52" s="129">
        <v>40782.301469999999</v>
      </c>
      <c r="G52" s="307">
        <f t="shared" ref="G52:G55" si="16">E52/$E$56</f>
        <v>7.7000203493092542E-2</v>
      </c>
      <c r="H52" s="307">
        <f t="shared" ref="H52:H55" si="17">(E52-I52)/I52</f>
        <v>2.4239711622484492E-2</v>
      </c>
      <c r="I52" s="313">
        <v>3657.4279999999999</v>
      </c>
      <c r="J52" s="129">
        <v>39885.473549999995</v>
      </c>
      <c r="K52" s="307">
        <f t="shared" ref="K52:K55" si="18">I52/$I$56</f>
        <v>7.9593569714023316E-2</v>
      </c>
    </row>
    <row r="53" spans="1:11" ht="11.15" customHeight="1">
      <c r="A53" s="423"/>
      <c r="B53" s="423"/>
      <c r="C53" s="154" t="s">
        <v>6</v>
      </c>
      <c r="D53" s="313">
        <v>10605</v>
      </c>
      <c r="E53" s="129">
        <v>10244.682000000001</v>
      </c>
      <c r="F53" s="129">
        <v>111528.7836</v>
      </c>
      <c r="G53" s="307">
        <f t="shared" si="16"/>
        <v>0.2105779820473872</v>
      </c>
      <c r="H53" s="307">
        <f t="shared" si="17"/>
        <v>5.751545212743725E-2</v>
      </c>
      <c r="I53" s="313">
        <v>9687.5010000000002</v>
      </c>
      <c r="J53" s="129">
        <v>105647.29940000009</v>
      </c>
      <c r="K53" s="307">
        <f t="shared" si="18"/>
        <v>0.21082104314785435</v>
      </c>
    </row>
    <row r="54" spans="1:11" ht="10.5" customHeight="1">
      <c r="A54" s="423"/>
      <c r="B54" s="423"/>
      <c r="C54" s="154" t="s">
        <v>7</v>
      </c>
      <c r="D54" s="313">
        <v>140558</v>
      </c>
      <c r="E54" s="129">
        <v>20541.8</v>
      </c>
      <c r="F54" s="129">
        <v>223628.4</v>
      </c>
      <c r="G54" s="307">
        <f t="shared" si="16"/>
        <v>0.42223377862007022</v>
      </c>
      <c r="H54" s="307">
        <f t="shared" si="17"/>
        <v>4.7949433473285445E-2</v>
      </c>
      <c r="I54" s="313">
        <v>19601.900000000005</v>
      </c>
      <c r="J54" s="129">
        <v>213767.40000000005</v>
      </c>
      <c r="K54" s="307">
        <f t="shared" si="18"/>
        <v>0.42657987913290818</v>
      </c>
    </row>
    <row r="55" spans="1:11" ht="11.15" customHeight="1">
      <c r="A55" s="423"/>
      <c r="B55" s="423"/>
      <c r="C55" s="154" t="s">
        <v>92</v>
      </c>
      <c r="D55" s="313">
        <v>11</v>
      </c>
      <c r="E55" s="129">
        <v>194.393</v>
      </c>
      <c r="F55" s="129">
        <v>2116.2696099999998</v>
      </c>
      <c r="G55" s="307">
        <f t="shared" si="16"/>
        <v>3.9957204785993098E-3</v>
      </c>
      <c r="H55" s="307">
        <f t="shared" si="17"/>
        <v>8.752825360538529E-4</v>
      </c>
      <c r="I55" s="313">
        <v>194.22300000000001</v>
      </c>
      <c r="J55" s="129">
        <v>2118.09575</v>
      </c>
      <c r="K55" s="307">
        <f t="shared" si="18"/>
        <v>4.2267139340997966E-3</v>
      </c>
    </row>
    <row r="56" spans="1:11" ht="11.15" customHeight="1">
      <c r="A56" s="424"/>
      <c r="B56" s="424"/>
      <c r="C56" s="318" t="s">
        <v>0</v>
      </c>
      <c r="D56" s="321">
        <v>151542</v>
      </c>
      <c r="E56" s="319">
        <v>48650.299999999996</v>
      </c>
      <c r="F56" s="319">
        <v>529632.26331999991</v>
      </c>
      <c r="G56" s="320">
        <f>SUM(G51:G55)</f>
        <v>1.0000000000000002</v>
      </c>
      <c r="H56" s="320">
        <f>(E56-I56)/I56</f>
        <v>5.8736096693673356E-2</v>
      </c>
      <c r="I56" s="321">
        <v>45951.3</v>
      </c>
      <c r="J56" s="319">
        <v>501120.6590300001</v>
      </c>
      <c r="K56" s="320">
        <f>SUM(K51:K55)</f>
        <v>1</v>
      </c>
    </row>
    <row r="57" spans="1:11" ht="11.15" customHeight="1">
      <c r="A57" s="492" t="str">
        <f>'3.1'!G5</f>
        <v>IV. čtvrtletí</v>
      </c>
      <c r="B57" s="422"/>
      <c r="C57" s="164" t="s">
        <v>4</v>
      </c>
      <c r="D57" s="312">
        <f>D51</f>
        <v>72</v>
      </c>
      <c r="E57" s="308">
        <f>E39+E45+E51</f>
        <v>36455.112000000001</v>
      </c>
      <c r="F57" s="308">
        <f>F39+F45+F51</f>
        <v>397870.75121999998</v>
      </c>
      <c r="G57" s="309">
        <f>E57/$E$62</f>
        <v>0.31669887072939984</v>
      </c>
      <c r="H57" s="309">
        <f>(E57-I57)/I57</f>
        <v>8.0791327155789641E-2</v>
      </c>
      <c r="I57" s="312">
        <f>I39+I45+I51</f>
        <v>33730.019</v>
      </c>
      <c r="J57" s="308">
        <f>J39+J45+J51</f>
        <v>368739.02454999997</v>
      </c>
      <c r="K57" s="309">
        <f>I57/$I$62</f>
        <v>0.32810472692324899</v>
      </c>
    </row>
    <row r="58" spans="1:11" ht="11.15" customHeight="1">
      <c r="A58" s="423"/>
      <c r="B58" s="423"/>
      <c r="C58" s="154" t="s">
        <v>5</v>
      </c>
      <c r="D58" s="313">
        <f>D52</f>
        <v>296</v>
      </c>
      <c r="E58" s="129">
        <f t="shared" ref="E58:F59" si="19">E40+E46+E52</f>
        <v>9531.9110000000001</v>
      </c>
      <c r="F58" s="129">
        <f t="shared" si="19"/>
        <v>104018.54806999999</v>
      </c>
      <c r="G58" s="307">
        <f t="shared" ref="G58:G61" si="20">E58/$E$62</f>
        <v>8.2807191748393044E-2</v>
      </c>
      <c r="H58" s="307">
        <f t="shared" ref="H58:H61" si="21">(E58-I58)/I58</f>
        <v>7.2370737730904439E-2</v>
      </c>
      <c r="I58" s="313">
        <f t="shared" ref="I58:J58" si="22">I40+I46+I52</f>
        <v>8888.634</v>
      </c>
      <c r="J58" s="129">
        <f t="shared" si="22"/>
        <v>97145.139560000011</v>
      </c>
      <c r="K58" s="307">
        <f t="shared" ref="K58:K61" si="23">I58/$I$62</f>
        <v>8.6463124473505529E-2</v>
      </c>
    </row>
    <row r="59" spans="1:11" ht="11.15" customHeight="1">
      <c r="A59" s="423"/>
      <c r="B59" s="423"/>
      <c r="C59" s="154" t="s">
        <v>6</v>
      </c>
      <c r="D59" s="313">
        <f>D53</f>
        <v>10605</v>
      </c>
      <c r="E59" s="129">
        <f>E41+E47+E53</f>
        <v>23236.762000000002</v>
      </c>
      <c r="F59" s="129">
        <f t="shared" si="19"/>
        <v>253498.30809999999</v>
      </c>
      <c r="G59" s="307">
        <f t="shared" si="20"/>
        <v>0.20186623716333202</v>
      </c>
      <c r="H59" s="307">
        <f t="shared" si="21"/>
        <v>0.16294027664719238</v>
      </c>
      <c r="I59" s="313">
        <f>I41+I47+I53</f>
        <v>19981.045000000002</v>
      </c>
      <c r="J59" s="129">
        <f t="shared" ref="J59" si="24">J41+J47+J53</f>
        <v>218291.8155100001</v>
      </c>
      <c r="K59" s="307">
        <f t="shared" si="23"/>
        <v>0.19436322622190491</v>
      </c>
    </row>
    <row r="60" spans="1:11" ht="11.15" customHeight="1">
      <c r="A60" s="423"/>
      <c r="B60" s="423"/>
      <c r="C60" s="154" t="s">
        <v>7</v>
      </c>
      <c r="D60" s="313">
        <f>D54</f>
        <v>140558</v>
      </c>
      <c r="E60" s="129">
        <f t="shared" ref="E60:F61" si="25">E42+E48+E54</f>
        <v>45258.6</v>
      </c>
      <c r="F60" s="129">
        <f t="shared" si="25"/>
        <v>493711.6</v>
      </c>
      <c r="G60" s="307">
        <f t="shared" si="20"/>
        <v>0.39317798586913172</v>
      </c>
      <c r="H60" s="307">
        <f t="shared" si="21"/>
        <v>0.14246695679392538</v>
      </c>
      <c r="I60" s="313">
        <f t="shared" ref="I60:J60" si="26">I42+I48+I54</f>
        <v>39614.800000000003</v>
      </c>
      <c r="J60" s="129">
        <f t="shared" si="26"/>
        <v>432765.70000000007</v>
      </c>
      <c r="K60" s="307">
        <f t="shared" si="23"/>
        <v>0.38534823049222489</v>
      </c>
    </row>
    <row r="61" spans="1:11" ht="11.15" customHeight="1">
      <c r="A61" s="423"/>
      <c r="B61" s="423"/>
      <c r="C61" s="154" t="s">
        <v>92</v>
      </c>
      <c r="D61" s="313">
        <f>D55</f>
        <v>11</v>
      </c>
      <c r="E61" s="129">
        <f>E43+E49+E55</f>
        <v>627.31500000000005</v>
      </c>
      <c r="F61" s="129">
        <f t="shared" si="25"/>
        <v>6849.3745699999999</v>
      </c>
      <c r="G61" s="307">
        <f t="shared" si="20"/>
        <v>5.449714489743262E-3</v>
      </c>
      <c r="H61" s="307">
        <f t="shared" si="21"/>
        <v>6.6677209055571923E-2</v>
      </c>
      <c r="I61" s="313">
        <f>I43+I49+I55</f>
        <v>588.10200000000009</v>
      </c>
      <c r="J61" s="129">
        <f t="shared" ref="J61" si="27">J43+J49+J55</f>
        <v>6431.8467599999985</v>
      </c>
      <c r="K61" s="307">
        <f t="shared" si="23"/>
        <v>5.7206918891156457E-3</v>
      </c>
    </row>
    <row r="62" spans="1:11" ht="11.15" customHeight="1">
      <c r="A62" s="424"/>
      <c r="B62" s="424"/>
      <c r="C62" s="318" t="s">
        <v>0</v>
      </c>
      <c r="D62" s="321">
        <f>SUM(D57:D61)</f>
        <v>151542</v>
      </c>
      <c r="E62" s="319">
        <f>SUM(E57:E61)</f>
        <v>115109.70000000001</v>
      </c>
      <c r="F62" s="319">
        <f>SUM(F57:F61)</f>
        <v>1255948.5819600001</v>
      </c>
      <c r="G62" s="320">
        <f>SUM(G57:G61)</f>
        <v>0.99999999999999989</v>
      </c>
      <c r="H62" s="320">
        <f>(E62-I62)/I62</f>
        <v>0.11971584376270644</v>
      </c>
      <c r="I62" s="321">
        <f>SUM(I57:I61)</f>
        <v>102802.6</v>
      </c>
      <c r="J62" s="319">
        <f>SUM(J57:J61)</f>
        <v>1123373.5263800002</v>
      </c>
      <c r="K62" s="320">
        <f>SUM(K57:K61)</f>
        <v>0.99999999999999989</v>
      </c>
    </row>
    <row r="63" spans="1:11" ht="1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 ht="1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 ht="1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 ht="1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1:11" ht="1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1:11" ht="1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 ht="1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1:11" ht="1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1:11" ht="1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1:11" ht="1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1:11" ht="1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1:11" ht="1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1:11" ht="1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1:11" ht="1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1:11" ht="1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1:11" ht="1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1:11" ht="1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1:11" ht="1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1:1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1:11" ht="1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1:11" ht="1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1:1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1:1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1:11" ht="1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 ht="1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1:11" ht="1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1:11" ht="1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1:11" ht="1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1:11" ht="1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1:11" ht="1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1:11" ht="1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1:11" ht="1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1:11" ht="1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1:11" ht="1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1:11" ht="1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1:11" ht="1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1:11" ht="1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1:11" ht="1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1:11" ht="1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1:11" ht="1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1:11" ht="1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1:11" ht="15" customHeight="1"/>
    <row r="105" spans="1:11" ht="15" customHeight="1"/>
    <row r="106" spans="1:11" ht="15" customHeight="1"/>
    <row r="107" spans="1:11" ht="15" customHeight="1"/>
    <row r="108" spans="1:11" ht="15" customHeight="1"/>
    <row r="109" spans="1:11" ht="15" customHeight="1"/>
    <row r="110" spans="1:11" ht="15" customHeight="1"/>
    <row r="111" spans="1:11" ht="15" customHeight="1"/>
    <row r="112" spans="1:11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mergeCells count="28">
    <mergeCell ref="I34:K35"/>
    <mergeCell ref="A51:B56"/>
    <mergeCell ref="I36:J37"/>
    <mergeCell ref="K36:K38"/>
    <mergeCell ref="A57:B62"/>
    <mergeCell ref="A39:B44"/>
    <mergeCell ref="A45:B50"/>
    <mergeCell ref="A27:B32"/>
    <mergeCell ref="H36:H38"/>
    <mergeCell ref="A38:B38"/>
    <mergeCell ref="E36:F37"/>
    <mergeCell ref="G36:G38"/>
    <mergeCell ref="A34:C34"/>
    <mergeCell ref="D34:D35"/>
    <mergeCell ref="A1:K1"/>
    <mergeCell ref="A3:C3"/>
    <mergeCell ref="A9:B14"/>
    <mergeCell ref="A15:B20"/>
    <mergeCell ref="A21:B26"/>
    <mergeCell ref="H6:H8"/>
    <mergeCell ref="A8:B8"/>
    <mergeCell ref="E6:F7"/>
    <mergeCell ref="I6:J7"/>
    <mergeCell ref="G6:G8"/>
    <mergeCell ref="K6:K8"/>
    <mergeCell ref="A4:C4"/>
    <mergeCell ref="D4:D5"/>
    <mergeCell ref="I4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H32 H62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0"/>
  <dimension ref="A1:P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496" t="str">
        <f>"6.8 Spotřeba zemního plynu a teplota ovzduší podle krajů: "&amp;LOWER(A3)</f>
        <v>6.8 Spotřeba zemního plynu a teplota ovzduší podle krajů: říjen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20.149999999999999" customHeight="1">
      <c r="A3" s="463" t="str">
        <f>'3.1'!D5</f>
        <v>Říjen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</row>
    <row r="4" spans="1:11" ht="20.149999999999999" customHeight="1">
      <c r="A4" s="128"/>
      <c r="B4" s="252">
        <f>'3.1'!A4</f>
        <v>2024</v>
      </c>
      <c r="C4" s="519" t="s">
        <v>60</v>
      </c>
      <c r="D4" s="520"/>
      <c r="E4" s="520"/>
      <c r="F4" s="521"/>
      <c r="G4" s="522" t="s">
        <v>185</v>
      </c>
      <c r="H4" s="522"/>
      <c r="I4" s="522"/>
      <c r="J4" s="522"/>
      <c r="K4" s="522"/>
    </row>
    <row r="5" spans="1:11" ht="49.5" customHeight="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69" t="s">
        <v>62</v>
      </c>
      <c r="H5" s="369" t="s">
        <v>172</v>
      </c>
      <c r="I5" s="369" t="s">
        <v>173</v>
      </c>
      <c r="J5" s="369" t="s">
        <v>280</v>
      </c>
      <c r="K5" s="369" t="s">
        <v>281</v>
      </c>
    </row>
    <row r="6" spans="1:11" ht="15" customHeight="1">
      <c r="A6" s="219" t="s">
        <v>186</v>
      </c>
      <c r="B6" s="467"/>
      <c r="C6" s="221" t="s">
        <v>257</v>
      </c>
      <c r="D6" s="219" t="s">
        <v>258</v>
      </c>
      <c r="E6" s="467"/>
      <c r="F6" s="502"/>
      <c r="G6" s="219" t="s">
        <v>226</v>
      </c>
      <c r="H6" s="219" t="s">
        <v>226</v>
      </c>
      <c r="I6" s="219" t="s">
        <v>226</v>
      </c>
      <c r="J6" s="219" t="s">
        <v>226</v>
      </c>
      <c r="K6" s="219" t="s">
        <v>226</v>
      </c>
    </row>
    <row r="7" spans="1:11" ht="14.15" customHeight="1">
      <c r="A7" s="154" t="s">
        <v>8</v>
      </c>
      <c r="B7" s="129">
        <f>'6.1'!D14</f>
        <v>102033</v>
      </c>
      <c r="C7" s="313">
        <f>'6.1'!E14</f>
        <v>19175.386195999999</v>
      </c>
      <c r="D7" s="129">
        <f>'6.1'!F14</f>
        <v>210192.98866099998</v>
      </c>
      <c r="E7" s="307">
        <f>D7/$D$21</f>
        <v>3.4903818392612619E-2</v>
      </c>
      <c r="F7" s="332">
        <f>'6.1'!H14</f>
        <v>0.29510604068760682</v>
      </c>
      <c r="G7" s="326">
        <v>9.4612903225806431</v>
      </c>
      <c r="H7" s="327">
        <v>13.5</v>
      </c>
      <c r="I7" s="327">
        <v>6.9</v>
      </c>
      <c r="J7" s="327">
        <v>7.5</v>
      </c>
      <c r="K7" s="326">
        <v>1.9612903225806431</v>
      </c>
    </row>
    <row r="8" spans="1:11" ht="14.15" customHeight="1">
      <c r="A8" s="154" t="s">
        <v>9</v>
      </c>
      <c r="B8" s="129">
        <f>'6.1'!D44</f>
        <v>370806</v>
      </c>
      <c r="C8" s="313">
        <f>'6.1'!E44</f>
        <v>71711.672999999995</v>
      </c>
      <c r="D8" s="129">
        <f>'6.1'!F44</f>
        <v>785221.19422999991</v>
      </c>
      <c r="E8" s="307">
        <f t="shared" ref="E8:E20" si="0">D8/$D$21</f>
        <v>0.13039073346845445</v>
      </c>
      <c r="F8" s="332">
        <f>'6.1'!H44</f>
        <v>0.34373303977139652</v>
      </c>
      <c r="G8" s="326">
        <v>10.86774193548387</v>
      </c>
      <c r="H8" s="327">
        <v>16.600000000000001</v>
      </c>
      <c r="I8" s="327">
        <v>7.6</v>
      </c>
      <c r="J8" s="327">
        <v>8.9</v>
      </c>
      <c r="K8" s="326">
        <v>1.9677419354838701</v>
      </c>
    </row>
    <row r="9" spans="1:11" ht="14.15" customHeight="1">
      <c r="A9" s="154" t="s">
        <v>10</v>
      </c>
      <c r="B9" s="129">
        <f>'6.2'!D14</f>
        <v>81505</v>
      </c>
      <c r="C9" s="313">
        <f>'6.2'!E14</f>
        <v>15962.800000000001</v>
      </c>
      <c r="D9" s="129">
        <f>'6.2'!F14</f>
        <v>174799.9241</v>
      </c>
      <c r="E9" s="307">
        <f t="shared" si="0"/>
        <v>2.9026585732927958E-2</v>
      </c>
      <c r="F9" s="332">
        <f>'6.2'!H14</f>
        <v>0.30804025041790933</v>
      </c>
      <c r="G9" s="326">
        <v>8.8516129032258064</v>
      </c>
      <c r="H9" s="327">
        <v>13.1</v>
      </c>
      <c r="I9" s="327">
        <v>5</v>
      </c>
      <c r="J9" s="327">
        <v>7</v>
      </c>
      <c r="K9" s="326">
        <v>1.8516129032258064</v>
      </c>
    </row>
    <row r="10" spans="1:11" ht="14.15" customHeight="1">
      <c r="A10" s="154" t="s">
        <v>91</v>
      </c>
      <c r="B10" s="129">
        <f>'6.2'!D44</f>
        <v>114318</v>
      </c>
      <c r="C10" s="313">
        <f>'6.2'!E44</f>
        <v>22743.4</v>
      </c>
      <c r="D10" s="129">
        <f>'6.2'!F44</f>
        <v>249051.68495000002</v>
      </c>
      <c r="E10" s="307">
        <f t="shared" si="0"/>
        <v>4.1356540183596906E-2</v>
      </c>
      <c r="F10" s="332">
        <f>'6.2'!H44</f>
        <v>0.20832204353346817</v>
      </c>
      <c r="G10" s="326">
        <v>9.6580645161290288</v>
      </c>
      <c r="H10" s="327">
        <v>14.2</v>
      </c>
      <c r="I10" s="327">
        <v>5.0999999999999996</v>
      </c>
      <c r="J10" s="327">
        <v>7.8000000000000043</v>
      </c>
      <c r="K10" s="326">
        <v>1.8580645161290246</v>
      </c>
    </row>
    <row r="11" spans="1:11" ht="14.15" customHeight="1">
      <c r="A11" s="154" t="s">
        <v>11</v>
      </c>
      <c r="B11" s="129">
        <f>'6.3'!D14</f>
        <v>90279</v>
      </c>
      <c r="C11" s="313">
        <f>'6.3'!E14</f>
        <v>20376.090999999997</v>
      </c>
      <c r="D11" s="129">
        <f>'6.3'!F14</f>
        <v>223123.33414999998</v>
      </c>
      <c r="E11" s="307">
        <f t="shared" si="0"/>
        <v>3.7050980548576265E-2</v>
      </c>
      <c r="F11" s="332">
        <f>'6.3'!H14</f>
        <v>0.24629745616020229</v>
      </c>
      <c r="G11" s="326">
        <v>9.9322580645161302</v>
      </c>
      <c r="H11" s="327">
        <v>14.8</v>
      </c>
      <c r="I11" s="327">
        <v>4.7</v>
      </c>
      <c r="J11" s="327">
        <v>7.8000000000000043</v>
      </c>
      <c r="K11" s="326">
        <v>2.132258064516126</v>
      </c>
    </row>
    <row r="12" spans="1:11" ht="14.15" customHeight="1">
      <c r="A12" s="154" t="s">
        <v>12</v>
      </c>
      <c r="B12" s="129">
        <f>'6.3'!D44</f>
        <v>365978</v>
      </c>
      <c r="C12" s="313">
        <f>'6.3'!E44</f>
        <v>57276.86099999999</v>
      </c>
      <c r="D12" s="129">
        <f>'6.3'!F44</f>
        <v>626936.07996999996</v>
      </c>
      <c r="E12" s="307">
        <f t="shared" si="0"/>
        <v>0.10410653189931782</v>
      </c>
      <c r="F12" s="332">
        <f>'6.3'!H44</f>
        <v>7.5337085867161147E-2</v>
      </c>
      <c r="G12" s="326">
        <v>10.016129032258066</v>
      </c>
      <c r="H12" s="327">
        <v>16.3</v>
      </c>
      <c r="I12" s="327">
        <v>5.3</v>
      </c>
      <c r="J12" s="327">
        <v>8.1999999999999957</v>
      </c>
      <c r="K12" s="326">
        <v>1.8161290322580701</v>
      </c>
    </row>
    <row r="13" spans="1:11" ht="14.15" customHeight="1">
      <c r="A13" s="154" t="s">
        <v>13</v>
      </c>
      <c r="B13" s="129">
        <f>'6.4'!D14</f>
        <v>181059</v>
      </c>
      <c r="C13" s="313">
        <f>'6.4'!E14</f>
        <v>31630.424999999999</v>
      </c>
      <c r="D13" s="129">
        <f>'6.4'!F14</f>
        <v>346368.74312</v>
      </c>
      <c r="E13" s="307">
        <f t="shared" si="0"/>
        <v>5.7516626904411686E-2</v>
      </c>
      <c r="F13" s="332">
        <f>'6.4'!H14</f>
        <v>0.16718296813998629</v>
      </c>
      <c r="G13" s="326">
        <v>9.9451612903225826</v>
      </c>
      <c r="H13" s="327">
        <v>15</v>
      </c>
      <c r="I13" s="327">
        <v>5.9</v>
      </c>
      <c r="J13" s="327">
        <v>7.6999999999999957</v>
      </c>
      <c r="K13" s="326">
        <v>2.2451612903225868</v>
      </c>
    </row>
    <row r="14" spans="1:11" ht="14.15" customHeight="1">
      <c r="A14" s="154" t="s">
        <v>14</v>
      </c>
      <c r="B14" s="129">
        <f>'6.4'!D44</f>
        <v>132476</v>
      </c>
      <c r="C14" s="313">
        <f>'6.4'!E44</f>
        <v>23146.399999999998</v>
      </c>
      <c r="D14" s="129">
        <f>'6.4'!F44</f>
        <v>253464.75915</v>
      </c>
      <c r="E14" s="307">
        <f t="shared" si="0"/>
        <v>4.2089357873716669E-2</v>
      </c>
      <c r="F14" s="332">
        <f>'6.4'!H44</f>
        <v>0.24202618587679772</v>
      </c>
      <c r="G14" s="326">
        <v>10.164516129032259</v>
      </c>
      <c r="H14" s="327">
        <v>14.9</v>
      </c>
      <c r="I14" s="327">
        <v>6.2</v>
      </c>
      <c r="J14" s="327">
        <v>8.4000000000000021</v>
      </c>
      <c r="K14" s="326">
        <v>1.7645161290322573</v>
      </c>
    </row>
    <row r="15" spans="1:11" ht="14.15" customHeight="1">
      <c r="A15" s="154" t="s">
        <v>15</v>
      </c>
      <c r="B15" s="129">
        <f>'6.5'!D14</f>
        <v>155155</v>
      </c>
      <c r="C15" s="313">
        <f>'6.5'!E14</f>
        <v>25452.7</v>
      </c>
      <c r="D15" s="129">
        <f>'6.5'!F14</f>
        <v>278718.60972000001</v>
      </c>
      <c r="E15" s="307">
        <f t="shared" si="0"/>
        <v>4.6282912661745647E-2</v>
      </c>
      <c r="F15" s="332">
        <f>'6.5'!H14</f>
        <v>0.22645882523008726</v>
      </c>
      <c r="G15" s="326">
        <v>9.6741935483870964</v>
      </c>
      <c r="H15" s="327">
        <v>14.1</v>
      </c>
      <c r="I15" s="327">
        <v>6.5</v>
      </c>
      <c r="J15" s="327">
        <v>7.6999999999999957</v>
      </c>
      <c r="K15" s="326">
        <v>1.9741935483871007</v>
      </c>
    </row>
    <row r="16" spans="1:11" ht="14.15" customHeight="1">
      <c r="A16" s="154" t="s">
        <v>1</v>
      </c>
      <c r="B16" s="129">
        <f>'6.5'!D44</f>
        <v>398493</v>
      </c>
      <c r="C16" s="313">
        <f>'6.5'!E44</f>
        <v>52299.809034513994</v>
      </c>
      <c r="D16" s="129">
        <f>'6.5'!F44</f>
        <v>572690.59832392307</v>
      </c>
      <c r="E16" s="307">
        <f t="shared" si="0"/>
        <v>9.5098741239620255E-2</v>
      </c>
      <c r="F16" s="332">
        <f>'6.5'!H44</f>
        <v>0.30589627935781122</v>
      </c>
      <c r="G16" s="326">
        <v>11.512903225806451</v>
      </c>
      <c r="H16" s="327">
        <v>16.3</v>
      </c>
      <c r="I16" s="327">
        <v>8.4</v>
      </c>
      <c r="J16" s="327">
        <v>9</v>
      </c>
      <c r="K16" s="326">
        <v>2.5129032258064505</v>
      </c>
    </row>
    <row r="17" spans="1:16" ht="14.15" customHeight="1">
      <c r="A17" s="154" t="s">
        <v>16</v>
      </c>
      <c r="B17" s="129">
        <f>'6.6'!D14</f>
        <v>253019</v>
      </c>
      <c r="C17" s="313">
        <f>'6.6'!E14</f>
        <v>79825.016000000003</v>
      </c>
      <c r="D17" s="129">
        <f>'6.6'!F14</f>
        <v>874126.00783699995</v>
      </c>
      <c r="E17" s="307">
        <f t="shared" si="0"/>
        <v>0.14515391604716799</v>
      </c>
      <c r="F17" s="332">
        <f>'6.6'!H14</f>
        <v>0.17349209420041445</v>
      </c>
      <c r="G17" s="326">
        <v>10.432258064516128</v>
      </c>
      <c r="H17" s="327">
        <v>15.3</v>
      </c>
      <c r="I17" s="327">
        <v>6.4</v>
      </c>
      <c r="J17" s="327">
        <v>8.6999999999999957</v>
      </c>
      <c r="K17" s="326">
        <v>1.7322580645161327</v>
      </c>
      <c r="L17" s="93"/>
      <c r="N17" s="93"/>
      <c r="O17" s="93"/>
      <c r="P17" s="93"/>
    </row>
    <row r="18" spans="1:16" ht="14.15" customHeight="1">
      <c r="A18" s="154" t="s">
        <v>17</v>
      </c>
      <c r="B18" s="129">
        <f>'6.6'!D44</f>
        <v>215403</v>
      </c>
      <c r="C18" s="313">
        <f>'6.6'!E44</f>
        <v>82923.29399999998</v>
      </c>
      <c r="D18" s="129">
        <f>'6.6'!F44</f>
        <v>908072.07476300013</v>
      </c>
      <c r="E18" s="307">
        <f t="shared" si="0"/>
        <v>0.15079086598863112</v>
      </c>
      <c r="F18" s="332">
        <f>'6.6'!H44</f>
        <v>3.7804572341253673E-2</v>
      </c>
      <c r="G18" s="326">
        <v>9.9580645161290313</v>
      </c>
      <c r="H18" s="327">
        <v>15</v>
      </c>
      <c r="I18" s="327">
        <v>5.5</v>
      </c>
      <c r="J18" s="327">
        <v>8.5999999999999979</v>
      </c>
      <c r="K18" s="326">
        <v>1.3580645161290334</v>
      </c>
      <c r="L18" s="93"/>
      <c r="N18" s="93"/>
      <c r="O18" s="93"/>
      <c r="P18" s="93"/>
    </row>
    <row r="19" spans="1:16" ht="14.15" customHeight="1">
      <c r="A19" s="154" t="s">
        <v>18</v>
      </c>
      <c r="B19" s="129">
        <f>'6.7'!D14</f>
        <v>117434</v>
      </c>
      <c r="C19" s="313">
        <f>'6.7'!E14</f>
        <v>21783.163804</v>
      </c>
      <c r="D19" s="129">
        <f>'6.7'!F14</f>
        <v>238566.04039200002</v>
      </c>
      <c r="E19" s="307">
        <f t="shared" si="0"/>
        <v>3.9615335418807213E-2</v>
      </c>
      <c r="F19" s="332">
        <f>'6.7'!H14</f>
        <v>0.28580710131407011</v>
      </c>
      <c r="G19" s="326">
        <v>9.5387096774193552</v>
      </c>
      <c r="H19" s="327">
        <v>14.2</v>
      </c>
      <c r="I19" s="327">
        <v>6.3</v>
      </c>
      <c r="J19" s="327">
        <v>7.4000000000000039</v>
      </c>
      <c r="K19" s="326">
        <v>2.1387096774193513</v>
      </c>
      <c r="L19" s="93"/>
      <c r="N19" s="93"/>
      <c r="O19" s="93"/>
      <c r="P19" s="93"/>
    </row>
    <row r="20" spans="1:16" ht="14.15" customHeight="1">
      <c r="A20" s="204" t="s">
        <v>19</v>
      </c>
      <c r="B20" s="310">
        <f>'6.7'!D44</f>
        <v>151663</v>
      </c>
      <c r="C20" s="314">
        <f>'6.7'!E44</f>
        <v>25636.3</v>
      </c>
      <c r="D20" s="310">
        <f>'6.7'!F44</f>
        <v>280730.82770000002</v>
      </c>
      <c r="E20" s="311">
        <f t="shared" si="0"/>
        <v>4.6617053640413325E-2</v>
      </c>
      <c r="F20" s="333">
        <f>'6.7'!H44</f>
        <v>0.29628805614687981</v>
      </c>
      <c r="G20" s="328">
        <v>9.8419354838709658</v>
      </c>
      <c r="H20" s="329">
        <v>15.6</v>
      </c>
      <c r="I20" s="329">
        <v>5.4</v>
      </c>
      <c r="J20" s="329">
        <v>8.8000000000000043</v>
      </c>
      <c r="K20" s="328">
        <v>1.0419354838709616</v>
      </c>
      <c r="L20" s="93"/>
    </row>
    <row r="21" spans="1:16" ht="14.15" customHeight="1">
      <c r="A21" s="154" t="s">
        <v>0</v>
      </c>
      <c r="B21" s="156">
        <f>SUM(B7:B20)</f>
        <v>2729621</v>
      </c>
      <c r="C21" s="313">
        <f>SUM(C7:C20)</f>
        <v>549943.31903451402</v>
      </c>
      <c r="D21" s="129">
        <f>SUM(D7:D20)</f>
        <v>6022062.8670669235</v>
      </c>
      <c r="E21" s="367">
        <f>SUM(E7:E20)</f>
        <v>1</v>
      </c>
      <c r="F21" s="332"/>
      <c r="G21" s="256">
        <v>9.9064516129032238</v>
      </c>
      <c r="H21" s="256">
        <v>14.6</v>
      </c>
      <c r="I21" s="256">
        <v>6.2</v>
      </c>
      <c r="J21" s="256">
        <v>8.3548387096774199</v>
      </c>
      <c r="K21" s="256">
        <v>1.5516129032258039</v>
      </c>
    </row>
    <row r="22" spans="1:16" ht="14.15" customHeight="1">
      <c r="A22" s="204" t="s">
        <v>93</v>
      </c>
      <c r="B22" s="368"/>
      <c r="C22" s="314">
        <f>'5.1'!E13</f>
        <v>5238.3985932439991</v>
      </c>
      <c r="D22" s="310">
        <f>'5.1'!F13</f>
        <v>57530.277567369005</v>
      </c>
      <c r="E22" s="368"/>
      <c r="F22" s="333">
        <f>'5.1'!H13</f>
        <v>-5.5604879474776527E-2</v>
      </c>
      <c r="G22" s="262">
        <v>9.9064516129032238</v>
      </c>
      <c r="H22" s="262">
        <v>14.6</v>
      </c>
      <c r="I22" s="262">
        <v>6.2</v>
      </c>
      <c r="J22" s="262">
        <v>8.3548387096774199</v>
      </c>
      <c r="K22" s="262">
        <v>1.5516129032258039</v>
      </c>
    </row>
    <row r="23" spans="1:16" ht="14.15" customHeight="1">
      <c r="A23" s="204" t="s">
        <v>55</v>
      </c>
      <c r="B23" s="161">
        <f>B21+B22</f>
        <v>2729621</v>
      </c>
      <c r="C23" s="314">
        <f>C21+C22</f>
        <v>555181.71762775804</v>
      </c>
      <c r="D23" s="310">
        <f>D21+D22</f>
        <v>6079593.1446342925</v>
      </c>
      <c r="E23" s="368"/>
      <c r="F23" s="333">
        <f>'5.1'!H14</f>
        <v>0.19255051550485633</v>
      </c>
      <c r="G23" s="262">
        <v>9.9064516129032238</v>
      </c>
      <c r="H23" s="262">
        <v>14.6</v>
      </c>
      <c r="I23" s="262">
        <v>6.2</v>
      </c>
      <c r="J23" s="262">
        <v>8.3548387096774199</v>
      </c>
      <c r="K23" s="262">
        <v>1.5516129032258039</v>
      </c>
    </row>
    <row r="24" spans="1:16" ht="15" customHeight="1">
      <c r="A24" s="101"/>
      <c r="B24" s="94"/>
      <c r="C24" s="504" t="s">
        <v>240</v>
      </c>
      <c r="D24" s="504"/>
      <c r="E24" s="504"/>
      <c r="F24" s="504"/>
      <c r="G24" s="507" t="s">
        <v>238</v>
      </c>
      <c r="H24" s="507"/>
      <c r="I24" s="507"/>
      <c r="J24" s="507"/>
      <c r="K24" s="507"/>
    </row>
    <row r="25" spans="1:16" ht="15" customHeight="1">
      <c r="A25" s="94"/>
      <c r="B25" s="94"/>
      <c r="C25" s="504"/>
      <c r="D25" s="504"/>
      <c r="E25" s="504"/>
      <c r="F25" s="504"/>
      <c r="G25" s="507" t="s">
        <v>239</v>
      </c>
      <c r="H25" s="507"/>
      <c r="I25" s="507"/>
      <c r="J25" s="507"/>
      <c r="K25" s="507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468" t="s">
        <v>253</v>
      </c>
      <c r="B29" s="468"/>
      <c r="C29" s="468"/>
      <c r="D29" s="468"/>
      <c r="E29" s="468"/>
      <c r="F29" s="468" t="s">
        <v>61</v>
      </c>
      <c r="G29" s="468"/>
      <c r="H29" s="468"/>
      <c r="I29" s="468"/>
      <c r="J29" s="468"/>
      <c r="K29" s="468"/>
    </row>
    <row r="30" spans="1:16" ht="15" customHeight="1">
      <c r="A30" s="120"/>
      <c r="B30" s="505"/>
      <c r="C30" s="505"/>
      <c r="D30" s="120"/>
      <c r="E30" s="120"/>
      <c r="F30" s="120"/>
      <c r="G30" s="120"/>
      <c r="H30" s="505"/>
      <c r="I30" s="505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B30:C30"/>
    <mergeCell ref="H30:I30"/>
    <mergeCell ref="F29:K29"/>
    <mergeCell ref="A29:E29"/>
    <mergeCell ref="B5:B6"/>
    <mergeCell ref="G25:K25"/>
    <mergeCell ref="G24:K24"/>
    <mergeCell ref="A1:K1"/>
    <mergeCell ref="A3:K3"/>
    <mergeCell ref="C24:F25"/>
    <mergeCell ref="C4:F4"/>
    <mergeCell ref="G4:K4"/>
    <mergeCell ref="A2:B2"/>
    <mergeCell ref="F5:F6"/>
    <mergeCell ref="E5:E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1"/>
  <dimension ref="A1:P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496" t="str">
        <f>"6.9 Spotřeba zemního plynu a teplota ovzduší podle krajů: "&amp;LOWER(A3)</f>
        <v>6.9 Spotřeba zemního plynu a teplota ovzduší podle krajů: listopad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20.149999999999999" customHeight="1">
      <c r="A3" s="463" t="str">
        <f>'3.1'!E5</f>
        <v>Listopad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</row>
    <row r="4" spans="1:11" ht="20.149999999999999" customHeight="1">
      <c r="A4" s="128"/>
      <c r="B4" s="252">
        <f>'3.1'!A4</f>
        <v>2024</v>
      </c>
      <c r="C4" s="519" t="s">
        <v>60</v>
      </c>
      <c r="D4" s="520"/>
      <c r="E4" s="520"/>
      <c r="F4" s="521"/>
      <c r="G4" s="522" t="s">
        <v>185</v>
      </c>
      <c r="H4" s="522"/>
      <c r="I4" s="522"/>
      <c r="J4" s="522"/>
      <c r="K4" s="522"/>
    </row>
    <row r="5" spans="1:11" ht="49.5" customHeight="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69" t="s">
        <v>62</v>
      </c>
      <c r="H5" s="369" t="s">
        <v>172</v>
      </c>
      <c r="I5" s="369" t="s">
        <v>173</v>
      </c>
      <c r="J5" s="369" t="s">
        <v>280</v>
      </c>
      <c r="K5" s="369" t="s">
        <v>281</v>
      </c>
    </row>
    <row r="6" spans="1:11" ht="15" customHeight="1">
      <c r="A6" s="219" t="s">
        <v>186</v>
      </c>
      <c r="B6" s="467"/>
      <c r="C6" s="221" t="s">
        <v>257</v>
      </c>
      <c r="D6" s="219" t="s">
        <v>258</v>
      </c>
      <c r="E6" s="467"/>
      <c r="F6" s="502"/>
      <c r="G6" s="219" t="s">
        <v>226</v>
      </c>
      <c r="H6" s="219" t="s">
        <v>226</v>
      </c>
      <c r="I6" s="219" t="s">
        <v>226</v>
      </c>
      <c r="J6" s="219" t="s">
        <v>226</v>
      </c>
      <c r="K6" s="219" t="s">
        <v>226</v>
      </c>
    </row>
    <row r="7" spans="1:11" ht="14.15" customHeight="1">
      <c r="A7" s="154" t="s">
        <v>8</v>
      </c>
      <c r="B7" s="129">
        <f>'6.1'!D20</f>
        <v>102071</v>
      </c>
      <c r="C7" s="313">
        <f>'6.1'!E20</f>
        <v>28962.759729999998</v>
      </c>
      <c r="D7" s="129">
        <f>'6.1'!F20</f>
        <v>315913.47386600001</v>
      </c>
      <c r="E7" s="307">
        <f>D7/$D$21</f>
        <v>3.3833452882427624E-2</v>
      </c>
      <c r="F7" s="332">
        <f>'6.1'!H20</f>
        <v>0.16557446326484582</v>
      </c>
      <c r="G7" s="326">
        <v>2.7666666666666666</v>
      </c>
      <c r="H7" s="327">
        <v>7.5</v>
      </c>
      <c r="I7" s="327">
        <v>-0.7</v>
      </c>
      <c r="J7" s="327">
        <v>2.2999999999999985</v>
      </c>
      <c r="K7" s="326">
        <v>0.46666666666666812</v>
      </c>
    </row>
    <row r="8" spans="1:11" ht="14.15" customHeight="1">
      <c r="A8" s="154" t="s">
        <v>9</v>
      </c>
      <c r="B8" s="129">
        <f>'6.1'!D50</f>
        <v>370613</v>
      </c>
      <c r="C8" s="313">
        <f>'6.1'!E50</f>
        <v>110818.81499999999</v>
      </c>
      <c r="D8" s="129">
        <f>'6.1'!F50</f>
        <v>1209548.1981200001</v>
      </c>
      <c r="E8" s="307">
        <f t="shared" ref="E8:E20" si="0">D8/$D$21</f>
        <v>0.12953924208840967</v>
      </c>
      <c r="F8" s="332">
        <f>'6.1'!H50</f>
        <v>0.14426806640171216</v>
      </c>
      <c r="G8" s="326">
        <v>3.4466666666666663</v>
      </c>
      <c r="H8" s="327">
        <v>8.1</v>
      </c>
      <c r="I8" s="327">
        <v>0.3</v>
      </c>
      <c r="J8" s="327">
        <v>3.2000000000000015</v>
      </c>
      <c r="K8" s="326">
        <v>0.24666666666666481</v>
      </c>
    </row>
    <row r="9" spans="1:11" ht="14.15" customHeight="1">
      <c r="A9" s="154" t="s">
        <v>10</v>
      </c>
      <c r="B9" s="129">
        <f>'6.2'!D20</f>
        <v>81463</v>
      </c>
      <c r="C9" s="313">
        <f>'6.2'!E20</f>
        <v>26366.499999999996</v>
      </c>
      <c r="D9" s="129">
        <f>'6.2'!F20</f>
        <v>287791.39126999996</v>
      </c>
      <c r="E9" s="307">
        <f t="shared" si="0"/>
        <v>3.0821656187516512E-2</v>
      </c>
      <c r="F9" s="332">
        <f>'6.2'!H20</f>
        <v>0.15790837388234041</v>
      </c>
      <c r="G9" s="326">
        <v>2.563333333333333</v>
      </c>
      <c r="H9" s="327">
        <v>8</v>
      </c>
      <c r="I9" s="327">
        <v>-2.4</v>
      </c>
      <c r="J9" s="327">
        <v>1.7999999999999992</v>
      </c>
      <c r="K9" s="326">
        <v>0.76333333333333386</v>
      </c>
    </row>
    <row r="10" spans="1:11" ht="14.15" customHeight="1">
      <c r="A10" s="154" t="s">
        <v>91</v>
      </c>
      <c r="B10" s="129">
        <f>'6.2'!D50</f>
        <v>114260</v>
      </c>
      <c r="C10" s="313">
        <f>'6.2'!E50</f>
        <v>35364.6</v>
      </c>
      <c r="D10" s="129">
        <f>'6.2'!F50</f>
        <v>386005.96612</v>
      </c>
      <c r="E10" s="307">
        <f t="shared" si="0"/>
        <v>4.1340163517674319E-2</v>
      </c>
      <c r="F10" s="332">
        <f>'6.2'!H50</f>
        <v>0.12583806085611124</v>
      </c>
      <c r="G10" s="326">
        <v>2.5966666666666662</v>
      </c>
      <c r="H10" s="327">
        <v>7.2</v>
      </c>
      <c r="I10" s="327">
        <v>-2.1</v>
      </c>
      <c r="J10" s="327">
        <v>2.5</v>
      </c>
      <c r="K10" s="326">
        <v>9.6666666666666234E-2</v>
      </c>
    </row>
    <row r="11" spans="1:11" ht="14.15" customHeight="1">
      <c r="A11" s="154" t="s">
        <v>11</v>
      </c>
      <c r="B11" s="129">
        <f>'6.3'!D20</f>
        <v>90232</v>
      </c>
      <c r="C11" s="313">
        <f>'6.3'!E20</f>
        <v>33310.584000000003</v>
      </c>
      <c r="D11" s="129">
        <f>'6.3'!F20</f>
        <v>363579.79622000002</v>
      </c>
      <c r="E11" s="307">
        <f t="shared" si="0"/>
        <v>3.8938383203084743E-2</v>
      </c>
      <c r="F11" s="332">
        <f>'6.3'!H20</f>
        <v>0.11131223289439897</v>
      </c>
      <c r="G11" s="326">
        <v>2.9600000000000004</v>
      </c>
      <c r="H11" s="327">
        <v>6.8</v>
      </c>
      <c r="I11" s="327">
        <v>-0.9</v>
      </c>
      <c r="J11" s="327">
        <v>2.7000000000000015</v>
      </c>
      <c r="K11" s="326">
        <v>0.2599999999999989</v>
      </c>
    </row>
    <row r="12" spans="1:11" ht="14.15" customHeight="1">
      <c r="A12" s="154" t="s">
        <v>12</v>
      </c>
      <c r="B12" s="129">
        <f>'6.3'!D50</f>
        <v>365788</v>
      </c>
      <c r="C12" s="313">
        <f>'6.3'!E50</f>
        <v>85409.517999999996</v>
      </c>
      <c r="D12" s="129">
        <f>'6.3'!F50</f>
        <v>931847.07067000004</v>
      </c>
      <c r="E12" s="307">
        <f t="shared" si="0"/>
        <v>9.9798225043464306E-2</v>
      </c>
      <c r="F12" s="332">
        <f>'6.3'!H50</f>
        <v>7.6238813813565884E-2</v>
      </c>
      <c r="G12" s="326">
        <v>3.1666666666666656</v>
      </c>
      <c r="H12" s="327">
        <v>9.1</v>
      </c>
      <c r="I12" s="327">
        <v>-1</v>
      </c>
      <c r="J12" s="327">
        <v>2.7000000000000015</v>
      </c>
      <c r="K12" s="326">
        <v>0.46666666666666412</v>
      </c>
    </row>
    <row r="13" spans="1:11" ht="14.15" customHeight="1">
      <c r="A13" s="154" t="s">
        <v>13</v>
      </c>
      <c r="B13" s="129">
        <f>'6.4'!D20</f>
        <v>180969</v>
      </c>
      <c r="C13" s="313">
        <f>'6.4'!E20</f>
        <v>50740.6</v>
      </c>
      <c r="D13" s="129">
        <f>'6.4'!F20</f>
        <v>553836.00378999999</v>
      </c>
      <c r="E13" s="307">
        <f t="shared" si="0"/>
        <v>5.9314292959752282E-2</v>
      </c>
      <c r="F13" s="332">
        <f>'6.4'!H20</f>
        <v>0.11977031076899983</v>
      </c>
      <c r="G13" s="326">
        <v>2.7766666666666668</v>
      </c>
      <c r="H13" s="327">
        <v>7.6</v>
      </c>
      <c r="I13" s="327">
        <v>-1</v>
      </c>
      <c r="J13" s="327">
        <v>2.100000000000001</v>
      </c>
      <c r="K13" s="326">
        <v>0.67666666666666586</v>
      </c>
    </row>
    <row r="14" spans="1:11" ht="14.15" customHeight="1">
      <c r="A14" s="154" t="s">
        <v>14</v>
      </c>
      <c r="B14" s="129">
        <f>'6.4'!D50</f>
        <v>132410</v>
      </c>
      <c r="C14" s="313">
        <f>'6.4'!E50</f>
        <v>36116</v>
      </c>
      <c r="D14" s="129">
        <f>'6.4'!F50</f>
        <v>394207.99216999992</v>
      </c>
      <c r="E14" s="307">
        <f t="shared" si="0"/>
        <v>4.2218577655910229E-2</v>
      </c>
      <c r="F14" s="332">
        <f>'6.4'!H50</f>
        <v>0.11514567663369017</v>
      </c>
      <c r="G14" s="326">
        <v>2.8966666666666669</v>
      </c>
      <c r="H14" s="327">
        <v>6.7</v>
      </c>
      <c r="I14" s="327">
        <v>-1.6</v>
      </c>
      <c r="J14" s="327">
        <v>3</v>
      </c>
      <c r="K14" s="326">
        <v>-0.10333333333333306</v>
      </c>
    </row>
    <row r="15" spans="1:11" ht="14.15" customHeight="1">
      <c r="A15" s="154" t="s">
        <v>15</v>
      </c>
      <c r="B15" s="129">
        <f>'6.5'!D20</f>
        <v>155078</v>
      </c>
      <c r="C15" s="313">
        <f>'6.5'!E20</f>
        <v>37556</v>
      </c>
      <c r="D15" s="129">
        <f>'6.5'!F20</f>
        <v>409925.38584999996</v>
      </c>
      <c r="E15" s="307">
        <f t="shared" si="0"/>
        <v>4.3901866728703651E-2</v>
      </c>
      <c r="F15" s="332">
        <f>'6.5'!H20</f>
        <v>0.11819069623418998</v>
      </c>
      <c r="G15" s="326">
        <v>3.296666666666666</v>
      </c>
      <c r="H15" s="327">
        <v>8.5</v>
      </c>
      <c r="I15" s="327">
        <v>-1.2</v>
      </c>
      <c r="J15" s="327">
        <v>2.5999999999999996</v>
      </c>
      <c r="K15" s="326">
        <v>0.69666666666666632</v>
      </c>
    </row>
    <row r="16" spans="1:11" ht="14.15" customHeight="1">
      <c r="A16" s="154" t="s">
        <v>1</v>
      </c>
      <c r="B16" s="129">
        <f>'6.5'!D50</f>
        <v>398204</v>
      </c>
      <c r="C16" s="313">
        <f>'6.5'!E50</f>
        <v>94080.247531101995</v>
      </c>
      <c r="D16" s="129">
        <f>'6.5'!F50</f>
        <v>1027355.211855026</v>
      </c>
      <c r="E16" s="307">
        <f t="shared" si="0"/>
        <v>0.11002688086851613</v>
      </c>
      <c r="F16" s="332">
        <f>'6.5'!H50</f>
        <v>0.13398542088404233</v>
      </c>
      <c r="G16" s="326">
        <v>4.4700000000000015</v>
      </c>
      <c r="H16" s="327">
        <v>10.4</v>
      </c>
      <c r="I16" s="327">
        <v>0.6</v>
      </c>
      <c r="J16" s="327">
        <v>3.700000000000002</v>
      </c>
      <c r="K16" s="326">
        <v>0.76999999999999957</v>
      </c>
    </row>
    <row r="17" spans="1:16" ht="14.15" customHeight="1">
      <c r="A17" s="154" t="s">
        <v>16</v>
      </c>
      <c r="B17" s="129">
        <f>'6.6'!D20</f>
        <v>252895</v>
      </c>
      <c r="C17" s="313">
        <f>'6.6'!E20</f>
        <v>109087.23699999998</v>
      </c>
      <c r="D17" s="129">
        <f>'6.6'!F20</f>
        <v>1190683.587813</v>
      </c>
      <c r="E17" s="307">
        <f t="shared" si="0"/>
        <v>0.12751889488334561</v>
      </c>
      <c r="F17" s="332">
        <f>'6.6'!H20</f>
        <v>0.14024150924763013</v>
      </c>
      <c r="G17" s="326">
        <v>3.4133333333333336</v>
      </c>
      <c r="H17" s="327">
        <v>8.5</v>
      </c>
      <c r="I17" s="327">
        <v>-0.1</v>
      </c>
      <c r="J17" s="327">
        <v>3.5</v>
      </c>
      <c r="K17" s="326">
        <v>-8.6666666666666448E-2</v>
      </c>
      <c r="L17" s="93"/>
      <c r="N17" s="93"/>
      <c r="O17" s="93"/>
      <c r="P17" s="93"/>
    </row>
    <row r="18" spans="1:16" ht="14.15" customHeight="1">
      <c r="A18" s="154" t="s">
        <v>17</v>
      </c>
      <c r="B18" s="129">
        <f>'6.6'!D50</f>
        <v>215292</v>
      </c>
      <c r="C18" s="313">
        <f>'6.6'!E50</f>
        <v>133789.06699999998</v>
      </c>
      <c r="D18" s="129">
        <f>'6.6'!F50</f>
        <v>1460458.5859010003</v>
      </c>
      <c r="E18" s="307">
        <f t="shared" si="0"/>
        <v>0.15641104555666227</v>
      </c>
      <c r="F18" s="332">
        <f>'6.6'!H50</f>
        <v>0.67774901670292986</v>
      </c>
      <c r="G18" s="326">
        <v>3.32</v>
      </c>
      <c r="H18" s="327">
        <v>8.3000000000000007</v>
      </c>
      <c r="I18" s="327">
        <v>-0.6</v>
      </c>
      <c r="J18" s="327">
        <v>3.5</v>
      </c>
      <c r="K18" s="326">
        <v>-0.18000000000000016</v>
      </c>
      <c r="L18" s="93"/>
      <c r="N18" s="93"/>
      <c r="O18" s="93"/>
      <c r="P18" s="93"/>
    </row>
    <row r="19" spans="1:16" ht="14.15" customHeight="1">
      <c r="A19" s="154" t="s">
        <v>18</v>
      </c>
      <c r="B19" s="129">
        <f>'6.7'!D20</f>
        <v>117378</v>
      </c>
      <c r="C19" s="313">
        <f>'6.7'!E20</f>
        <v>33037.190268999999</v>
      </c>
      <c r="D19" s="129">
        <f>'6.7'!F20</f>
        <v>360572.90745200001</v>
      </c>
      <c r="E19" s="307">
        <f t="shared" si="0"/>
        <v>3.8616353793544646E-2</v>
      </c>
      <c r="F19" s="332">
        <f>'6.7'!H20</f>
        <v>0.12674613435159893</v>
      </c>
      <c r="G19" s="326">
        <v>2.3366666666666664</v>
      </c>
      <c r="H19" s="327">
        <v>6</v>
      </c>
      <c r="I19" s="327">
        <v>-1.3</v>
      </c>
      <c r="J19" s="327">
        <v>1.899999999999999</v>
      </c>
      <c r="K19" s="326">
        <v>0.43666666666666742</v>
      </c>
      <c r="L19" s="93"/>
      <c r="N19" s="93"/>
      <c r="O19" s="93"/>
      <c r="P19" s="93"/>
    </row>
    <row r="20" spans="1:16" ht="14.15" customHeight="1">
      <c r="A20" s="204" t="s">
        <v>19</v>
      </c>
      <c r="B20" s="310">
        <f>'6.7'!D50</f>
        <v>151585</v>
      </c>
      <c r="C20" s="314">
        <f>'6.7'!E50</f>
        <v>40823.100000000006</v>
      </c>
      <c r="D20" s="310">
        <f>'6.7'!F50</f>
        <v>445585.49093999999</v>
      </c>
      <c r="E20" s="311">
        <f t="shared" si="0"/>
        <v>4.7720964630987781E-2</v>
      </c>
      <c r="F20" s="333">
        <f>'6.7'!H50</f>
        <v>0.1011069573238821</v>
      </c>
      <c r="G20" s="328">
        <v>2.5133333333333332</v>
      </c>
      <c r="H20" s="329">
        <v>7</v>
      </c>
      <c r="I20" s="329">
        <v>-2.1</v>
      </c>
      <c r="J20" s="329">
        <v>3.299999999999998</v>
      </c>
      <c r="K20" s="328">
        <v>-0.78666666666666485</v>
      </c>
      <c r="L20" s="93"/>
    </row>
    <row r="21" spans="1:16" ht="14.15" customHeight="1">
      <c r="A21" s="154" t="s">
        <v>0</v>
      </c>
      <c r="B21" s="156">
        <f>SUM(B7:B20)</f>
        <v>2728238</v>
      </c>
      <c r="C21" s="313">
        <f>SUM(C7:C20)</f>
        <v>855462.21853010193</v>
      </c>
      <c r="D21" s="129">
        <f>SUM(D7:D20)</f>
        <v>9337311.0620370284</v>
      </c>
      <c r="E21" s="367">
        <f>SUM(E7:E20)</f>
        <v>0.99999999999999978</v>
      </c>
      <c r="F21" s="332"/>
      <c r="G21" s="256">
        <v>2.9600000000000004</v>
      </c>
      <c r="H21" s="256">
        <v>7.5</v>
      </c>
      <c r="I21" s="256">
        <v>-0.6</v>
      </c>
      <c r="J21" s="256">
        <v>3.5466666666666664</v>
      </c>
      <c r="K21" s="256">
        <v>-0.586666666666666</v>
      </c>
    </row>
    <row r="22" spans="1:16" ht="14.15" customHeight="1">
      <c r="A22" s="204" t="s">
        <v>93</v>
      </c>
      <c r="B22" s="368"/>
      <c r="C22" s="314">
        <f>'5.1'!E20</f>
        <v>10015.054617161999</v>
      </c>
      <c r="D22" s="310">
        <f>'5.1'!F20</f>
        <v>109509.82473800001</v>
      </c>
      <c r="E22" s="368"/>
      <c r="F22" s="333">
        <f>'5.1'!H20</f>
        <v>1.7469213519477819E-2</v>
      </c>
      <c r="G22" s="262">
        <v>2.9600000000000004</v>
      </c>
      <c r="H22" s="262">
        <v>7.5</v>
      </c>
      <c r="I22" s="262">
        <v>-0.6</v>
      </c>
      <c r="J22" s="262">
        <v>3.5466666666666664</v>
      </c>
      <c r="K22" s="262">
        <v>-0.586666666666666</v>
      </c>
    </row>
    <row r="23" spans="1:16" ht="14.15" customHeight="1">
      <c r="A23" s="204" t="s">
        <v>55</v>
      </c>
      <c r="B23" s="161">
        <f>B21+B22</f>
        <v>2728238</v>
      </c>
      <c r="C23" s="314">
        <f t="shared" ref="C23:D23" si="1">C21+C22</f>
        <v>865477.27314726391</v>
      </c>
      <c r="D23" s="310">
        <f t="shared" si="1"/>
        <v>9446820.886775028</v>
      </c>
      <c r="E23" s="368"/>
      <c r="F23" s="333">
        <f>'5.1'!H21</f>
        <v>0.18377839576589688</v>
      </c>
      <c r="G23" s="262">
        <v>2.9600000000000004</v>
      </c>
      <c r="H23" s="262">
        <v>7.5</v>
      </c>
      <c r="I23" s="262">
        <v>-0.6</v>
      </c>
      <c r="J23" s="262">
        <v>3.5466666666666664</v>
      </c>
      <c r="K23" s="262">
        <v>-0.586666666666666</v>
      </c>
    </row>
    <row r="24" spans="1:16" ht="15" customHeight="1">
      <c r="A24" s="101"/>
      <c r="B24" s="94"/>
      <c r="C24" s="504" t="s">
        <v>240</v>
      </c>
      <c r="D24" s="504"/>
      <c r="E24" s="504"/>
      <c r="F24" s="504"/>
      <c r="G24" s="507" t="s">
        <v>238</v>
      </c>
      <c r="H24" s="507"/>
      <c r="I24" s="507"/>
      <c r="J24" s="507"/>
      <c r="K24" s="507"/>
    </row>
    <row r="25" spans="1:16" ht="15" customHeight="1">
      <c r="A25" s="94"/>
      <c r="B25" s="94"/>
      <c r="C25" s="504"/>
      <c r="D25" s="504"/>
      <c r="E25" s="504"/>
      <c r="F25" s="504"/>
      <c r="G25" s="507" t="s">
        <v>239</v>
      </c>
      <c r="H25" s="507"/>
      <c r="I25" s="507"/>
      <c r="J25" s="507"/>
      <c r="K25" s="507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468" t="s">
        <v>253</v>
      </c>
      <c r="B29" s="468"/>
      <c r="C29" s="468"/>
      <c r="D29" s="468"/>
      <c r="E29" s="468"/>
      <c r="F29" s="468" t="s">
        <v>61</v>
      </c>
      <c r="G29" s="468"/>
      <c r="H29" s="468"/>
      <c r="I29" s="468"/>
      <c r="J29" s="468"/>
      <c r="K29" s="468"/>
    </row>
    <row r="30" spans="1:16" ht="15" customHeight="1">
      <c r="A30" s="120"/>
      <c r="B30" s="505"/>
      <c r="C30" s="505"/>
      <c r="D30" s="120"/>
      <c r="E30" s="120"/>
      <c r="F30" s="120"/>
      <c r="G30" s="120"/>
      <c r="H30" s="505"/>
      <c r="I30" s="505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F72"/>
  <sheetViews>
    <sheetView showGridLines="0" zoomScaleNormal="100" zoomScaleSheetLayoutView="100" workbookViewId="0">
      <selection activeCell="D1" sqref="D1"/>
    </sheetView>
  </sheetViews>
  <sheetFormatPr defaultColWidth="9.1796875" defaultRowHeight="10"/>
  <cols>
    <col min="1" max="1" width="90.26953125" style="4" customWidth="1"/>
    <col min="2" max="2" width="9.1796875" style="2" customWidth="1"/>
    <col min="3" max="4" width="9.1796875" style="4" customWidth="1"/>
    <col min="5" max="5" width="9.1796875" style="4"/>
    <col min="6" max="6" width="9.1796875" style="4" customWidth="1"/>
    <col min="7" max="8" width="9.1796875" style="4"/>
    <col min="9" max="9" width="9.1796875" style="4" customWidth="1"/>
    <col min="10" max="16384" width="9.1796875" style="4"/>
  </cols>
  <sheetData>
    <row r="1" spans="1:4" ht="20">
      <c r="A1" s="45" t="s">
        <v>242</v>
      </c>
      <c r="C1" s="3"/>
      <c r="D1" s="3"/>
    </row>
    <row r="2" spans="1:4" s="6" customFormat="1" ht="6" customHeight="1">
      <c r="A2" s="5"/>
      <c r="B2" s="5"/>
      <c r="C2" s="5"/>
      <c r="D2" s="5"/>
    </row>
    <row r="3" spans="1:4" ht="11.25" customHeight="1">
      <c r="A3" s="409" t="s">
        <v>315</v>
      </c>
      <c r="B3" s="409"/>
    </row>
    <row r="4" spans="1:4" ht="11.25" customHeight="1">
      <c r="A4" s="409"/>
      <c r="B4" s="409"/>
    </row>
    <row r="5" spans="1:4" ht="11.25" customHeight="1">
      <c r="A5" s="409"/>
      <c r="B5" s="409"/>
      <c r="C5" s="7"/>
      <c r="D5" s="7"/>
    </row>
    <row r="6" spans="1:4" ht="11.25" customHeight="1">
      <c r="A6" s="409"/>
      <c r="B6" s="409"/>
      <c r="C6" s="7"/>
      <c r="D6" s="7"/>
    </row>
    <row r="7" spans="1:4" ht="11.25" customHeight="1">
      <c r="A7" s="409"/>
      <c r="B7" s="409"/>
      <c r="C7" s="8"/>
      <c r="D7" s="7"/>
    </row>
    <row r="8" spans="1:4" ht="11.25" customHeight="1">
      <c r="A8" s="409"/>
      <c r="B8" s="409"/>
      <c r="C8" s="7"/>
      <c r="D8" s="7"/>
    </row>
    <row r="9" spans="1:4" ht="11.25" customHeight="1">
      <c r="A9" s="409"/>
      <c r="B9" s="409"/>
      <c r="C9" s="7"/>
      <c r="D9" s="7"/>
    </row>
    <row r="10" spans="1:4" ht="11.25" customHeight="1">
      <c r="A10" s="409"/>
      <c r="B10" s="409"/>
      <c r="C10" s="7"/>
      <c r="D10" s="7"/>
    </row>
    <row r="11" spans="1:4" ht="11.25" customHeight="1">
      <c r="A11" s="409"/>
      <c r="B11" s="409"/>
      <c r="C11" s="7"/>
      <c r="D11" s="7"/>
    </row>
    <row r="12" spans="1:4" ht="11.25" customHeight="1">
      <c r="A12" s="409"/>
      <c r="B12" s="409"/>
      <c r="C12" s="7"/>
      <c r="D12" s="7"/>
    </row>
    <row r="13" spans="1:4" ht="11.25" customHeight="1">
      <c r="A13" s="409"/>
      <c r="B13" s="409"/>
      <c r="C13" s="7"/>
      <c r="D13" s="7"/>
    </row>
    <row r="14" spans="1:4" ht="11.25" customHeight="1">
      <c r="A14" s="409"/>
      <c r="B14" s="409"/>
      <c r="C14" s="7"/>
      <c r="D14" s="7"/>
    </row>
    <row r="15" spans="1:4" ht="11.25" customHeight="1">
      <c r="A15" s="409"/>
      <c r="B15" s="409"/>
      <c r="C15" s="7"/>
      <c r="D15" s="7"/>
    </row>
    <row r="16" spans="1:4" ht="11.25" customHeight="1">
      <c r="A16" s="409"/>
      <c r="B16" s="409"/>
      <c r="C16" s="7"/>
      <c r="D16" s="7"/>
    </row>
    <row r="17" spans="1:6" ht="11.25" customHeight="1">
      <c r="A17" s="409"/>
      <c r="B17" s="409"/>
      <c r="C17" s="7"/>
      <c r="D17" s="7"/>
    </row>
    <row r="18" spans="1:6" ht="11.25" customHeight="1">
      <c r="A18" s="409"/>
      <c r="B18" s="409"/>
      <c r="C18" s="7"/>
      <c r="D18" s="7"/>
      <c r="F18" s="2"/>
    </row>
    <row r="19" spans="1:6" ht="11.25" customHeight="1">
      <c r="A19" s="409"/>
      <c r="B19" s="409"/>
      <c r="C19" s="7"/>
      <c r="D19" s="7"/>
      <c r="F19" s="2"/>
    </row>
    <row r="20" spans="1:6" ht="11.25" customHeight="1">
      <c r="A20" s="409"/>
      <c r="B20" s="409"/>
      <c r="C20" s="7"/>
      <c r="D20" s="7"/>
      <c r="F20" s="2"/>
    </row>
    <row r="21" spans="1:6" ht="11.25" customHeight="1">
      <c r="A21" s="409"/>
      <c r="B21" s="409"/>
      <c r="C21" s="7"/>
      <c r="D21" s="7"/>
      <c r="F21" s="2"/>
    </row>
    <row r="22" spans="1:6" ht="11.25" customHeight="1">
      <c r="A22" s="409"/>
      <c r="B22" s="409"/>
      <c r="C22" s="7"/>
      <c r="D22" s="7"/>
      <c r="F22" s="2"/>
    </row>
    <row r="23" spans="1:6" ht="11.25" customHeight="1">
      <c r="A23" s="409"/>
      <c r="B23" s="409"/>
      <c r="C23" s="7"/>
      <c r="D23" s="7"/>
      <c r="F23" s="2"/>
    </row>
    <row r="24" spans="1:6" ht="11.25" customHeight="1">
      <c r="A24" s="409"/>
      <c r="B24" s="409"/>
      <c r="C24" s="7"/>
      <c r="D24" s="7"/>
      <c r="F24" s="2"/>
    </row>
    <row r="25" spans="1:6" ht="11.25" customHeight="1">
      <c r="A25" s="409"/>
      <c r="B25" s="409"/>
      <c r="C25" s="7"/>
      <c r="D25" s="7"/>
      <c r="F25" s="2"/>
    </row>
    <row r="26" spans="1:6" ht="11.25" customHeight="1">
      <c r="A26" s="409"/>
      <c r="B26" s="409"/>
      <c r="C26" s="7"/>
      <c r="D26" s="7"/>
      <c r="F26" s="2"/>
    </row>
    <row r="27" spans="1:6" ht="11.25" customHeight="1">
      <c r="A27" s="409"/>
      <c r="B27" s="409"/>
      <c r="C27" s="7"/>
      <c r="D27" s="7"/>
      <c r="F27" s="2"/>
    </row>
    <row r="28" spans="1:6" ht="11.25" customHeight="1">
      <c r="A28" s="409"/>
      <c r="B28" s="409"/>
      <c r="C28" s="9"/>
      <c r="D28" s="9"/>
      <c r="F28" s="2"/>
    </row>
    <row r="29" spans="1:6" ht="11.25" customHeight="1">
      <c r="A29" s="409"/>
      <c r="B29" s="409"/>
      <c r="C29" s="7"/>
      <c r="D29" s="7"/>
      <c r="F29" s="2"/>
    </row>
    <row r="30" spans="1:6" ht="11.25" customHeight="1">
      <c r="A30" s="409"/>
      <c r="B30" s="409"/>
      <c r="C30" s="7"/>
      <c r="D30" s="7"/>
    </row>
    <row r="31" spans="1:6" ht="11.25" customHeight="1">
      <c r="A31" s="409"/>
      <c r="B31" s="409"/>
      <c r="C31" s="7"/>
      <c r="D31" s="7"/>
    </row>
    <row r="32" spans="1:6" ht="11.25" customHeight="1">
      <c r="A32" s="409"/>
      <c r="B32" s="409"/>
      <c r="C32" s="7"/>
      <c r="D32" s="7"/>
    </row>
    <row r="33" spans="1:4" ht="11.25" customHeight="1">
      <c r="A33" s="409"/>
      <c r="B33" s="409"/>
      <c r="C33" s="7"/>
      <c r="D33" s="7"/>
    </row>
    <row r="34" spans="1:4" ht="11.25" customHeight="1">
      <c r="A34" s="409"/>
      <c r="B34" s="409"/>
      <c r="C34" s="7"/>
      <c r="D34" s="7"/>
    </row>
    <row r="35" spans="1:4" ht="11.25" customHeight="1">
      <c r="A35" s="409"/>
      <c r="B35" s="409"/>
      <c r="C35" s="7"/>
      <c r="D35" s="7"/>
    </row>
    <row r="36" spans="1:4" ht="11.25" customHeight="1">
      <c r="A36" s="409"/>
      <c r="B36" s="409"/>
      <c r="C36" s="7"/>
      <c r="D36" s="7"/>
    </row>
    <row r="37" spans="1:4" ht="11.25" customHeight="1">
      <c r="A37" s="409"/>
      <c r="B37" s="409"/>
      <c r="C37" s="10"/>
      <c r="D37" s="10"/>
    </row>
    <row r="38" spans="1:4" ht="11.25" customHeight="1">
      <c r="A38" s="409"/>
      <c r="B38" s="409"/>
    </row>
    <row r="39" spans="1:4" ht="11.25" customHeight="1">
      <c r="A39" s="409"/>
      <c r="B39" s="409"/>
    </row>
    <row r="40" spans="1:4" ht="11.25" customHeight="1">
      <c r="A40" s="409"/>
      <c r="B40" s="409"/>
    </row>
    <row r="41" spans="1:4" ht="11.25" customHeight="1">
      <c r="A41" s="409"/>
      <c r="B41" s="409"/>
    </row>
    <row r="42" spans="1:4" ht="11.25" customHeight="1">
      <c r="A42" s="409"/>
      <c r="B42" s="409"/>
    </row>
    <row r="43" spans="1:4" ht="11.25" customHeight="1">
      <c r="A43" s="409"/>
      <c r="B43" s="409"/>
    </row>
    <row r="44" spans="1:4" ht="11.25" customHeight="1">
      <c r="A44" s="409"/>
      <c r="B44" s="409"/>
    </row>
    <row r="45" spans="1:4" ht="11.25" customHeight="1">
      <c r="A45" s="409"/>
      <c r="B45" s="409"/>
    </row>
    <row r="46" spans="1:4" ht="11.25" customHeight="1">
      <c r="A46" s="409"/>
      <c r="B46" s="409"/>
    </row>
    <row r="47" spans="1:4" ht="11.25" customHeight="1">
      <c r="A47" s="409"/>
      <c r="B47" s="409"/>
    </row>
    <row r="48" spans="1:4" ht="11.25" customHeight="1">
      <c r="A48" s="409"/>
      <c r="B48" s="409"/>
    </row>
    <row r="49" spans="1:2" ht="11.25" customHeight="1">
      <c r="A49" s="409"/>
      <c r="B49" s="409"/>
    </row>
    <row r="50" spans="1:2" ht="11.25" customHeight="1">
      <c r="A50" s="409"/>
      <c r="B50" s="409"/>
    </row>
    <row r="51" spans="1:2" ht="11.25" customHeight="1">
      <c r="A51" s="409"/>
      <c r="B51" s="409"/>
    </row>
    <row r="52" spans="1:2" ht="11.25" customHeight="1">
      <c r="A52" s="409"/>
      <c r="B52" s="409"/>
    </row>
    <row r="53" spans="1:2" ht="11.25" customHeight="1">
      <c r="A53" s="409"/>
      <c r="B53" s="409"/>
    </row>
    <row r="54" spans="1:2" ht="11.25" customHeight="1">
      <c r="A54" s="409"/>
      <c r="B54" s="409"/>
    </row>
    <row r="55" spans="1:2" ht="11.25" customHeight="1">
      <c r="A55" s="409"/>
      <c r="B55" s="409"/>
    </row>
    <row r="56" spans="1:2" ht="11.25" customHeight="1">
      <c r="A56" s="409"/>
      <c r="B56" s="409"/>
    </row>
    <row r="57" spans="1:2" ht="11.25" customHeight="1">
      <c r="A57" s="409"/>
      <c r="B57" s="409"/>
    </row>
    <row r="58" spans="1:2" ht="11.25" customHeight="1">
      <c r="A58" s="409"/>
      <c r="B58" s="409"/>
    </row>
    <row r="59" spans="1:2" ht="11.25" customHeight="1">
      <c r="A59" s="409"/>
      <c r="B59" s="409"/>
    </row>
    <row r="60" spans="1:2" ht="11.25" customHeight="1">
      <c r="A60" s="409"/>
      <c r="B60" s="409"/>
    </row>
    <row r="61" spans="1:2" ht="11.25" customHeight="1">
      <c r="A61" s="409"/>
      <c r="B61" s="409"/>
    </row>
    <row r="62" spans="1:2" ht="11.25" customHeight="1">
      <c r="A62" s="409"/>
      <c r="B62" s="409"/>
    </row>
    <row r="63" spans="1:2" ht="11.25" customHeight="1">
      <c r="A63" s="409"/>
      <c r="B63" s="409"/>
    </row>
    <row r="64" spans="1:2" ht="11.25" customHeight="1">
      <c r="A64" s="409"/>
      <c r="B64" s="409"/>
    </row>
    <row r="65" spans="1:2" ht="11.25" customHeight="1">
      <c r="A65" s="409"/>
      <c r="B65" s="409"/>
    </row>
    <row r="66" spans="1:2" ht="11.25" customHeight="1">
      <c r="A66" s="409"/>
      <c r="B66" s="409"/>
    </row>
    <row r="67" spans="1:2" ht="11.25" customHeight="1">
      <c r="A67" s="409"/>
      <c r="B67" s="409"/>
    </row>
    <row r="68" spans="1:2" ht="11.25" customHeight="1">
      <c r="A68" s="409"/>
      <c r="B68" s="409"/>
    </row>
    <row r="69" spans="1:2" ht="11.25" customHeight="1">
      <c r="A69" s="409"/>
      <c r="B69" s="409"/>
    </row>
    <row r="70" spans="1:2" ht="11.25" customHeight="1">
      <c r="A70" s="409"/>
      <c r="B70" s="409"/>
    </row>
    <row r="71" spans="1:2" ht="11.25" customHeight="1">
      <c r="A71" s="409"/>
      <c r="B71" s="409"/>
    </row>
    <row r="72" spans="1:2" ht="11.25" customHeight="1">
      <c r="A72" s="11"/>
      <c r="B72" s="11"/>
    </row>
  </sheetData>
  <mergeCells count="1">
    <mergeCell ref="A3:B7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2"/>
  <dimension ref="A1:P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496" t="str">
        <f>"6.10 Spotřeba zemního plynu a teplota ovzduší podle krajů: "&amp;LOWER(A3)</f>
        <v>6.10 Spotřeba zemního plynu a teplota ovzduší podle krajů: prosinec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20.149999999999999" customHeight="1">
      <c r="A3" s="463" t="str">
        <f>'3.1'!F5</f>
        <v>Prosinec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</row>
    <row r="4" spans="1:11" ht="20.149999999999999" customHeight="1">
      <c r="A4" s="128"/>
      <c r="B4" s="252">
        <f>'3.1'!A4</f>
        <v>2024</v>
      </c>
      <c r="C4" s="519" t="s">
        <v>60</v>
      </c>
      <c r="D4" s="520"/>
      <c r="E4" s="520"/>
      <c r="F4" s="521"/>
      <c r="G4" s="522" t="s">
        <v>185</v>
      </c>
      <c r="H4" s="522"/>
      <c r="I4" s="522"/>
      <c r="J4" s="522"/>
      <c r="K4" s="522"/>
    </row>
    <row r="5" spans="1:11" ht="49.5" customHeight="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69" t="s">
        <v>62</v>
      </c>
      <c r="H5" s="369" t="s">
        <v>172</v>
      </c>
      <c r="I5" s="369" t="s">
        <v>173</v>
      </c>
      <c r="J5" s="369" t="s">
        <v>280</v>
      </c>
      <c r="K5" s="369" t="s">
        <v>281</v>
      </c>
    </row>
    <row r="6" spans="1:11" ht="15" customHeight="1">
      <c r="A6" s="219" t="s">
        <v>186</v>
      </c>
      <c r="B6" s="467"/>
      <c r="C6" s="221" t="s">
        <v>257</v>
      </c>
      <c r="D6" s="219" t="s">
        <v>258</v>
      </c>
      <c r="E6" s="467"/>
      <c r="F6" s="502"/>
      <c r="G6" s="219" t="s">
        <v>226</v>
      </c>
      <c r="H6" s="219" t="s">
        <v>226</v>
      </c>
      <c r="I6" s="219" t="s">
        <v>226</v>
      </c>
      <c r="J6" s="219" t="s">
        <v>226</v>
      </c>
      <c r="K6" s="219" t="s">
        <v>226</v>
      </c>
    </row>
    <row r="7" spans="1:11" ht="14.15" customHeight="1">
      <c r="A7" s="154" t="s">
        <v>8</v>
      </c>
      <c r="B7" s="129">
        <f>'6.1'!D26</f>
        <v>102051</v>
      </c>
      <c r="C7" s="313">
        <f>'6.1'!E26</f>
        <v>32075.418989999998</v>
      </c>
      <c r="D7" s="129">
        <f>'6.1'!F26</f>
        <v>349013.35366600007</v>
      </c>
      <c r="E7" s="307">
        <f>D7/$D$21</f>
        <v>3.4450526275463807E-2</v>
      </c>
      <c r="F7" s="332">
        <f>'6.1'!H26</f>
        <v>7.9813524016648221E-2</v>
      </c>
      <c r="G7" s="326">
        <v>0.72258064516129028</v>
      </c>
      <c r="H7" s="327">
        <v>6.9</v>
      </c>
      <c r="I7" s="327">
        <v>-3.3</v>
      </c>
      <c r="J7" s="327">
        <v>-0.5</v>
      </c>
      <c r="K7" s="326">
        <v>1.2225806451612904</v>
      </c>
    </row>
    <row r="8" spans="1:11" ht="14.15" customHeight="1">
      <c r="A8" s="154" t="s">
        <v>9</v>
      </c>
      <c r="B8" s="129">
        <f>'6.1'!D56</f>
        <v>370452</v>
      </c>
      <c r="C8" s="313">
        <f>'6.1'!E56</f>
        <v>130084.1</v>
      </c>
      <c r="D8" s="129">
        <f>'6.1'!F56</f>
        <v>1416163.9508399998</v>
      </c>
      <c r="E8" s="307">
        <f t="shared" ref="E8:E20" si="0">D8/$D$21</f>
        <v>0.13978718260008743</v>
      </c>
      <c r="F8" s="332">
        <f>'6.1'!H56</f>
        <v>4.3809221247055399E-2</v>
      </c>
      <c r="G8" s="326">
        <v>1.3935483870967742</v>
      </c>
      <c r="H8" s="327">
        <v>8.1</v>
      </c>
      <c r="I8" s="327">
        <v>-3.5</v>
      </c>
      <c r="J8" s="327">
        <v>-0.20000000000000009</v>
      </c>
      <c r="K8" s="326">
        <v>1.5935483870967744</v>
      </c>
    </row>
    <row r="9" spans="1:11" ht="14.15" customHeight="1">
      <c r="A9" s="154" t="s">
        <v>10</v>
      </c>
      <c r="B9" s="129">
        <f>'6.2'!D26</f>
        <v>81441</v>
      </c>
      <c r="C9" s="313">
        <f>'6.2'!E26</f>
        <v>28827.4</v>
      </c>
      <c r="D9" s="129">
        <f>'6.2'!F26</f>
        <v>313830.27464999998</v>
      </c>
      <c r="E9" s="307">
        <f t="shared" si="0"/>
        <v>3.0977663201999957E-2</v>
      </c>
      <c r="F9" s="332">
        <f>'6.2'!H26</f>
        <v>0.23876928365777153</v>
      </c>
      <c r="G9" s="326">
        <v>0.12258064516129037</v>
      </c>
      <c r="H9" s="327">
        <v>5.8</v>
      </c>
      <c r="I9" s="327">
        <v>-3.8</v>
      </c>
      <c r="J9" s="327">
        <v>-0.80000000000000038</v>
      </c>
      <c r="K9" s="326">
        <v>0.92258064516129079</v>
      </c>
    </row>
    <row r="10" spans="1:11" ht="14.15" customHeight="1">
      <c r="A10" s="154" t="s">
        <v>91</v>
      </c>
      <c r="B10" s="129">
        <f>'6.2'!D56</f>
        <v>114229</v>
      </c>
      <c r="C10" s="313">
        <f>'6.2'!E56</f>
        <v>39079.299999999996</v>
      </c>
      <c r="D10" s="129">
        <f>'6.2'!F56</f>
        <v>425437.22959999996</v>
      </c>
      <c r="E10" s="307">
        <f t="shared" si="0"/>
        <v>4.1994199657246885E-2</v>
      </c>
      <c r="F10" s="332">
        <f>'6.2'!H56</f>
        <v>7.2299173535577313E-2</v>
      </c>
      <c r="G10" s="326">
        <v>0.61935483870967767</v>
      </c>
      <c r="H10" s="327">
        <v>6.4</v>
      </c>
      <c r="I10" s="327">
        <v>-3.7</v>
      </c>
      <c r="J10" s="327">
        <v>-0.60000000000000009</v>
      </c>
      <c r="K10" s="326">
        <v>1.2193548387096778</v>
      </c>
    </row>
    <row r="11" spans="1:11" ht="14.15" customHeight="1">
      <c r="A11" s="154" t="s">
        <v>11</v>
      </c>
      <c r="B11" s="129">
        <f>'6.3'!D26</f>
        <v>90211</v>
      </c>
      <c r="C11" s="313">
        <f>'6.3'!E26</f>
        <v>37718.741000000002</v>
      </c>
      <c r="D11" s="129">
        <f>'6.3'!F26</f>
        <v>410620.32564999996</v>
      </c>
      <c r="E11" s="307">
        <f t="shared" si="0"/>
        <v>4.0531647770653483E-2</v>
      </c>
      <c r="F11" s="332">
        <f>'6.3'!H26</f>
        <v>3.2332377235380946E-2</v>
      </c>
      <c r="G11" s="326">
        <v>1.1645161290322581</v>
      </c>
      <c r="H11" s="327">
        <v>7.5</v>
      </c>
      <c r="I11" s="327">
        <v>-3.5</v>
      </c>
      <c r="J11" s="327">
        <v>-0.20000000000000009</v>
      </c>
      <c r="K11" s="326">
        <v>1.3645161290322583</v>
      </c>
    </row>
    <row r="12" spans="1:11" ht="14.15" customHeight="1">
      <c r="A12" s="154" t="s">
        <v>12</v>
      </c>
      <c r="B12" s="129">
        <f>'6.3'!D56</f>
        <v>365679</v>
      </c>
      <c r="C12" s="313">
        <f>'6.3'!E56</f>
        <v>97689.875</v>
      </c>
      <c r="D12" s="129">
        <f>'6.3'!F56</f>
        <v>1063172.44542</v>
      </c>
      <c r="E12" s="307">
        <f t="shared" si="0"/>
        <v>0.10494397959724516</v>
      </c>
      <c r="F12" s="332">
        <f>'6.3'!H56</f>
        <v>6.5156301665297567E-2</v>
      </c>
      <c r="G12" s="326">
        <v>1.3516129032258064</v>
      </c>
      <c r="H12" s="327">
        <v>7.1</v>
      </c>
      <c r="I12" s="327">
        <v>-3.7</v>
      </c>
      <c r="J12" s="327">
        <v>-0.5</v>
      </c>
      <c r="K12" s="326">
        <v>1.8516129032258064</v>
      </c>
    </row>
    <row r="13" spans="1:11" ht="14.15" customHeight="1">
      <c r="A13" s="154" t="s">
        <v>13</v>
      </c>
      <c r="B13" s="129">
        <f>'6.4'!D26</f>
        <v>181125</v>
      </c>
      <c r="C13" s="313">
        <f>'6.4'!E26</f>
        <v>58898.7</v>
      </c>
      <c r="D13" s="129">
        <f>'6.4'!F26</f>
        <v>641201.75692999992</v>
      </c>
      <c r="E13" s="307">
        <f t="shared" si="0"/>
        <v>6.329195643364989E-2</v>
      </c>
      <c r="F13" s="332">
        <f>'6.4'!H26</f>
        <v>9.1302716434701683E-2</v>
      </c>
      <c r="G13" s="326">
        <v>1.064516129032258</v>
      </c>
      <c r="H13" s="327">
        <v>7.3</v>
      </c>
      <c r="I13" s="327">
        <v>-2.5</v>
      </c>
      <c r="J13" s="327">
        <v>-1.1000000000000005</v>
      </c>
      <c r="K13" s="326">
        <v>2.1645161290322585</v>
      </c>
    </row>
    <row r="14" spans="1:11" ht="14.15" customHeight="1">
      <c r="A14" s="154" t="s">
        <v>14</v>
      </c>
      <c r="B14" s="129">
        <f>'6.4'!D56</f>
        <v>132374</v>
      </c>
      <c r="C14" s="313">
        <f>'6.4'!E56</f>
        <v>40265.5</v>
      </c>
      <c r="D14" s="129">
        <f>'6.4'!F56</f>
        <v>438351.14323999995</v>
      </c>
      <c r="E14" s="307">
        <f t="shared" si="0"/>
        <v>4.3268910542950255E-2</v>
      </c>
      <c r="F14" s="332">
        <f>'6.4'!H56</f>
        <v>2.1129885905716624E-2</v>
      </c>
      <c r="G14" s="326">
        <v>0.82258064516128993</v>
      </c>
      <c r="H14" s="327">
        <v>7</v>
      </c>
      <c r="I14" s="327">
        <v>-3.8</v>
      </c>
      <c r="J14" s="327">
        <v>0.10000000000000005</v>
      </c>
      <c r="K14" s="326">
        <v>0.72258064516128984</v>
      </c>
    </row>
    <row r="15" spans="1:11" ht="14.15" customHeight="1">
      <c r="A15" s="154" t="s">
        <v>15</v>
      </c>
      <c r="B15" s="129">
        <f>'6.5'!D26</f>
        <v>155034</v>
      </c>
      <c r="C15" s="313">
        <f>'6.5'!E26</f>
        <v>42898.8</v>
      </c>
      <c r="D15" s="129">
        <f>'6.5'!F26</f>
        <v>467018.23431000003</v>
      </c>
      <c r="E15" s="307">
        <f t="shared" si="0"/>
        <v>4.6098591309529938E-2</v>
      </c>
      <c r="F15" s="332">
        <f>'6.5'!H26</f>
        <v>0.12641988016027594</v>
      </c>
      <c r="G15" s="326">
        <v>1.0806451612903227</v>
      </c>
      <c r="H15" s="327">
        <v>7.7</v>
      </c>
      <c r="I15" s="327">
        <v>-2.9</v>
      </c>
      <c r="J15" s="327">
        <v>-0.10000000000000005</v>
      </c>
      <c r="K15" s="326">
        <v>1.1806451612903228</v>
      </c>
    </row>
    <row r="16" spans="1:11" ht="14.15" customHeight="1">
      <c r="A16" s="154" t="s">
        <v>1</v>
      </c>
      <c r="B16" s="129">
        <f>'6.5'!D56</f>
        <v>398053</v>
      </c>
      <c r="C16" s="313">
        <f>'6.5'!E56</f>
        <v>111312.153827665</v>
      </c>
      <c r="D16" s="129">
        <f>'6.5'!F56</f>
        <v>1212320.2077539151</v>
      </c>
      <c r="E16" s="307">
        <f t="shared" si="0"/>
        <v>0.1196661065624167</v>
      </c>
      <c r="F16" s="332">
        <f>'6.5'!H56</f>
        <v>5.7326220983064058E-2</v>
      </c>
      <c r="G16" s="326">
        <v>2.4548387096774191</v>
      </c>
      <c r="H16" s="327">
        <v>10.4</v>
      </c>
      <c r="I16" s="327">
        <v>-3.1</v>
      </c>
      <c r="J16" s="327">
        <v>1.1000000000000005</v>
      </c>
      <c r="K16" s="326">
        <v>1.3548387096774186</v>
      </c>
    </row>
    <row r="17" spans="1:16" ht="14.15" customHeight="1">
      <c r="A17" s="154" t="s">
        <v>16</v>
      </c>
      <c r="B17" s="129">
        <f>'6.6'!D26</f>
        <v>252835</v>
      </c>
      <c r="C17" s="313">
        <f>'6.6'!E26</f>
        <v>116623.818</v>
      </c>
      <c r="D17" s="129">
        <f>'6.6'!F26</f>
        <v>1269634.340197</v>
      </c>
      <c r="E17" s="307">
        <f t="shared" si="0"/>
        <v>0.12532348902341983</v>
      </c>
      <c r="F17" s="332">
        <f>'6.6'!H26</f>
        <v>3.283033609795518E-2</v>
      </c>
      <c r="G17" s="326">
        <v>1.6</v>
      </c>
      <c r="H17" s="327">
        <v>8.5</v>
      </c>
      <c r="I17" s="327">
        <v>-3.1</v>
      </c>
      <c r="J17" s="327">
        <v>0.69999999999999962</v>
      </c>
      <c r="K17" s="326">
        <v>0.90000000000000047</v>
      </c>
      <c r="L17" s="93"/>
      <c r="N17" s="93"/>
      <c r="O17" s="93"/>
      <c r="P17" s="93"/>
    </row>
    <row r="18" spans="1:16" ht="14.15" customHeight="1">
      <c r="A18" s="154" t="s">
        <v>17</v>
      </c>
      <c r="B18" s="129">
        <f>'6.6'!D56</f>
        <v>215233</v>
      </c>
      <c r="C18" s="313">
        <f>'6.6'!E56</f>
        <v>108471.94699999999</v>
      </c>
      <c r="D18" s="129">
        <f>'6.6'!F56</f>
        <v>1181198.708623</v>
      </c>
      <c r="E18" s="307">
        <f t="shared" si="0"/>
        <v>0.1165941552680618</v>
      </c>
      <c r="F18" s="332">
        <f>'6.6'!H56</f>
        <v>0.16722173715890987</v>
      </c>
      <c r="G18" s="326">
        <v>1.338709677419355</v>
      </c>
      <c r="H18" s="327">
        <v>8.3000000000000007</v>
      </c>
      <c r="I18" s="327">
        <v>-3.6</v>
      </c>
      <c r="J18" s="327">
        <v>0.89999999999999947</v>
      </c>
      <c r="K18" s="326">
        <v>0.43870967741935551</v>
      </c>
      <c r="L18" s="93"/>
      <c r="N18" s="93"/>
      <c r="O18" s="93"/>
      <c r="P18" s="93"/>
    </row>
    <row r="19" spans="1:16" ht="14.15" customHeight="1">
      <c r="A19" s="154" t="s">
        <v>18</v>
      </c>
      <c r="B19" s="129">
        <f>'6.7'!D26</f>
        <v>117198</v>
      </c>
      <c r="C19" s="313">
        <f>'6.7'!E26</f>
        <v>37963.094011000001</v>
      </c>
      <c r="D19" s="129">
        <f>'6.7'!F26</f>
        <v>413262.71919799998</v>
      </c>
      <c r="E19" s="307">
        <f t="shared" si="0"/>
        <v>4.0792474032454937E-2</v>
      </c>
      <c r="F19" s="332">
        <f>'6.7'!H26</f>
        <v>4.9572381568713221E-2</v>
      </c>
      <c r="G19" s="326">
        <v>0.50000000000000011</v>
      </c>
      <c r="H19" s="327">
        <v>5.5</v>
      </c>
      <c r="I19" s="327">
        <v>-3.1</v>
      </c>
      <c r="J19" s="327">
        <v>-1.2000000000000002</v>
      </c>
      <c r="K19" s="326">
        <v>1.7000000000000002</v>
      </c>
      <c r="L19" s="93"/>
      <c r="N19" s="93"/>
      <c r="O19" s="93"/>
      <c r="P19" s="93"/>
    </row>
    <row r="20" spans="1:16" ht="14.15" customHeight="1">
      <c r="A20" s="204" t="s">
        <v>19</v>
      </c>
      <c r="B20" s="310">
        <f>'6.7'!D56</f>
        <v>151542</v>
      </c>
      <c r="C20" s="314">
        <f>'6.7'!E56</f>
        <v>48650.299999999996</v>
      </c>
      <c r="D20" s="310">
        <f>'6.7'!F56</f>
        <v>529632.26331999991</v>
      </c>
      <c r="E20" s="311">
        <f t="shared" si="0"/>
        <v>5.2279117724819905E-2</v>
      </c>
      <c r="F20" s="333">
        <f>'6.7'!H56</f>
        <v>5.8736096693673356E-2</v>
      </c>
      <c r="G20" s="328">
        <v>0.60322580645161283</v>
      </c>
      <c r="H20" s="329">
        <v>6.1</v>
      </c>
      <c r="I20" s="329">
        <v>-3.2</v>
      </c>
      <c r="J20" s="329">
        <v>-0.10000000000000005</v>
      </c>
      <c r="K20" s="328">
        <v>0.70322580645161292</v>
      </c>
      <c r="L20" s="93"/>
    </row>
    <row r="21" spans="1:16" ht="14.15" customHeight="1">
      <c r="A21" s="154" t="s">
        <v>0</v>
      </c>
      <c r="B21" s="156">
        <f>SUM(B7:B20)</f>
        <v>2727457</v>
      </c>
      <c r="C21" s="313">
        <f>SUM(C7:C20)</f>
        <v>930559.14782866498</v>
      </c>
      <c r="D21" s="129">
        <f>SUM(D7:D20)</f>
        <v>10130856.953397915</v>
      </c>
      <c r="E21" s="367">
        <f>SUM(E7:E20)</f>
        <v>0.99999999999999989</v>
      </c>
      <c r="F21" s="332"/>
      <c r="G21" s="256">
        <v>1.0193548387096774</v>
      </c>
      <c r="H21" s="256">
        <v>6.5</v>
      </c>
      <c r="I21" s="256">
        <v>-2.6</v>
      </c>
      <c r="J21" s="256">
        <v>-0.38387096774193558</v>
      </c>
      <c r="K21" s="256">
        <v>1.403225806451613</v>
      </c>
    </row>
    <row r="22" spans="1:16" ht="14.15" customHeight="1">
      <c r="A22" s="204" t="s">
        <v>93</v>
      </c>
      <c r="B22" s="368"/>
      <c r="C22" s="314">
        <f>'5.1'!E27</f>
        <v>18684.499371839996</v>
      </c>
      <c r="D22" s="310">
        <f>'5.1'!F27</f>
        <v>204911.88010099999</v>
      </c>
      <c r="E22" s="368"/>
      <c r="F22" s="333">
        <f>'5.1'!H27</f>
        <v>0.46295174231201047</v>
      </c>
      <c r="G22" s="262">
        <v>1.0193548387096774</v>
      </c>
      <c r="H22" s="262">
        <v>6.5</v>
      </c>
      <c r="I22" s="262">
        <v>-2.6</v>
      </c>
      <c r="J22" s="262">
        <v>-0.38387096774193558</v>
      </c>
      <c r="K22" s="262">
        <v>1.403225806451613</v>
      </c>
    </row>
    <row r="23" spans="1:16" ht="14.15" customHeight="1">
      <c r="A23" s="204" t="s">
        <v>55</v>
      </c>
      <c r="B23" s="161">
        <f>B21+B22</f>
        <v>2727457</v>
      </c>
      <c r="C23" s="314">
        <f t="shared" ref="C23:D23" si="1">C21+C22</f>
        <v>949243.64720050502</v>
      </c>
      <c r="D23" s="310">
        <f t="shared" si="1"/>
        <v>10335768.833498916</v>
      </c>
      <c r="E23" s="368"/>
      <c r="F23" s="333">
        <f>'5.1'!H28</f>
        <v>7.8928673641862332E-2</v>
      </c>
      <c r="G23" s="262">
        <v>1.0193548387096774</v>
      </c>
      <c r="H23" s="262">
        <v>6.5</v>
      </c>
      <c r="I23" s="262">
        <v>-2.6</v>
      </c>
      <c r="J23" s="262">
        <v>-0.38387096774193558</v>
      </c>
      <c r="K23" s="262">
        <v>1.403225806451613</v>
      </c>
    </row>
    <row r="24" spans="1:16" ht="15" customHeight="1">
      <c r="A24" s="101"/>
      <c r="B24" s="94"/>
      <c r="C24" s="504" t="s">
        <v>240</v>
      </c>
      <c r="D24" s="504"/>
      <c r="E24" s="504"/>
      <c r="F24" s="504"/>
      <c r="G24" s="507" t="s">
        <v>238</v>
      </c>
      <c r="H24" s="507"/>
      <c r="I24" s="507"/>
      <c r="J24" s="507"/>
      <c r="K24" s="507"/>
    </row>
    <row r="25" spans="1:16" ht="15" customHeight="1">
      <c r="A25" s="94"/>
      <c r="B25" s="94"/>
      <c r="C25" s="504"/>
      <c r="D25" s="504"/>
      <c r="E25" s="504"/>
      <c r="F25" s="504"/>
      <c r="G25" s="507" t="s">
        <v>239</v>
      </c>
      <c r="H25" s="507"/>
      <c r="I25" s="507"/>
      <c r="J25" s="507"/>
      <c r="K25" s="507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468" t="s">
        <v>253</v>
      </c>
      <c r="B29" s="468"/>
      <c r="C29" s="468"/>
      <c r="D29" s="468"/>
      <c r="E29" s="468"/>
      <c r="F29" s="468" t="s">
        <v>61</v>
      </c>
      <c r="G29" s="468"/>
      <c r="H29" s="468"/>
      <c r="I29" s="468"/>
      <c r="J29" s="468"/>
      <c r="K29" s="468"/>
    </row>
    <row r="30" spans="1:16" ht="15" customHeight="1">
      <c r="A30" s="120"/>
      <c r="B30" s="505"/>
      <c r="C30" s="505"/>
      <c r="D30" s="120"/>
      <c r="E30" s="120"/>
      <c r="F30" s="120"/>
      <c r="G30" s="120"/>
      <c r="H30" s="505"/>
      <c r="I30" s="505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3"/>
  <dimension ref="A1:P57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16.26953125" style="84" customWidth="1"/>
    <col min="2" max="2" width="10.26953125" style="84" customWidth="1"/>
    <col min="3" max="3" width="10" style="84" customWidth="1"/>
    <col min="4" max="4" width="10.7265625" style="84" customWidth="1"/>
    <col min="5" max="6" width="8.54296875" style="84" customWidth="1"/>
    <col min="7" max="10" width="6.7265625" style="84" customWidth="1"/>
    <col min="11" max="11" width="8.1796875" style="84" customWidth="1"/>
    <col min="12" max="13" width="9.1796875" style="84"/>
    <col min="14" max="14" width="11.1796875" style="84" customWidth="1"/>
    <col min="15" max="16384" width="9.1796875" style="84"/>
  </cols>
  <sheetData>
    <row r="1" spans="1:11" s="104" customFormat="1" ht="18">
      <c r="A1" s="496" t="str">
        <f>"6.11 Spotřeba zemního plynu a teplota ovzduší podle krajů: "&amp;(A3)</f>
        <v>6.11 Spotřeba zemního plynu a teplota ovzduší podle krajů: IV. čtvrtletí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6" customHeight="1">
      <c r="A2" s="500"/>
      <c r="B2" s="500"/>
      <c r="C2" s="300"/>
      <c r="D2" s="301"/>
      <c r="E2" s="302"/>
      <c r="F2" s="302"/>
      <c r="G2" s="302"/>
      <c r="H2" s="302"/>
      <c r="I2" s="76"/>
      <c r="J2" s="76"/>
      <c r="K2" s="76"/>
    </row>
    <row r="3" spans="1:11" ht="20.149999999999999" customHeight="1">
      <c r="A3" s="523" t="str">
        <f>'3.1'!G5</f>
        <v>IV. čtvrtletí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</row>
    <row r="4" spans="1:11" ht="20.149999999999999" customHeight="1">
      <c r="A4" s="128"/>
      <c r="B4" s="252">
        <f>'3.1'!A4</f>
        <v>2024</v>
      </c>
      <c r="C4" s="519" t="s">
        <v>60</v>
      </c>
      <c r="D4" s="520"/>
      <c r="E4" s="520"/>
      <c r="F4" s="521"/>
      <c r="G4" s="522" t="s">
        <v>185</v>
      </c>
      <c r="H4" s="522"/>
      <c r="I4" s="522"/>
      <c r="J4" s="522"/>
      <c r="K4" s="522"/>
    </row>
    <row r="5" spans="1:11" ht="49.5" customHeight="1">
      <c r="A5" s="272"/>
      <c r="B5" s="481" t="s">
        <v>184</v>
      </c>
      <c r="C5" s="345"/>
      <c r="D5" s="346"/>
      <c r="E5" s="481" t="s">
        <v>275</v>
      </c>
      <c r="F5" s="501" t="s">
        <v>278</v>
      </c>
      <c r="G5" s="369" t="s">
        <v>62</v>
      </c>
      <c r="H5" s="369" t="s">
        <v>172</v>
      </c>
      <c r="I5" s="369" t="s">
        <v>173</v>
      </c>
      <c r="J5" s="369" t="s">
        <v>280</v>
      </c>
      <c r="K5" s="369" t="s">
        <v>281</v>
      </c>
    </row>
    <row r="6" spans="1:11" ht="15" customHeight="1">
      <c r="A6" s="219" t="s">
        <v>186</v>
      </c>
      <c r="B6" s="467"/>
      <c r="C6" s="221" t="s">
        <v>257</v>
      </c>
      <c r="D6" s="219" t="s">
        <v>258</v>
      </c>
      <c r="E6" s="467"/>
      <c r="F6" s="502"/>
      <c r="G6" s="219" t="s">
        <v>226</v>
      </c>
      <c r="H6" s="219" t="s">
        <v>226</v>
      </c>
      <c r="I6" s="219" t="s">
        <v>226</v>
      </c>
      <c r="J6" s="219" t="s">
        <v>226</v>
      </c>
      <c r="K6" s="219" t="s">
        <v>226</v>
      </c>
    </row>
    <row r="7" spans="1:11" ht="14.15" customHeight="1">
      <c r="A7" s="154" t="s">
        <v>8</v>
      </c>
      <c r="B7" s="129">
        <f>'6.1'!D32</f>
        <v>102051</v>
      </c>
      <c r="C7" s="313">
        <f>'6.1'!E32</f>
        <v>80213.564916000003</v>
      </c>
      <c r="D7" s="129">
        <f>'6.1'!F32</f>
        <v>875119.81619300006</v>
      </c>
      <c r="E7" s="307">
        <f>D7/$D$21</f>
        <v>3.4331576682333574E-2</v>
      </c>
      <c r="F7" s="332">
        <f>'6.1'!H32</f>
        <v>0.15649642796052363</v>
      </c>
      <c r="G7" s="326">
        <f>AVERAGE('6.8'!G7,'6.9'!G7,'6.10'!G7)</f>
        <v>4.3168458781362</v>
      </c>
      <c r="H7" s="327">
        <f>MAX('6.8'!H7,'6.9'!H7,'6.10'!H7)</f>
        <v>13.5</v>
      </c>
      <c r="I7" s="327">
        <f>MIN('6.8'!I7,'6.9'!I7,'6.10'!I7)</f>
        <v>-3.3</v>
      </c>
      <c r="J7" s="327">
        <f>AVERAGE('6.8'!J7,'6.9'!J7,'6.10'!J7)</f>
        <v>3.0999999999999996</v>
      </c>
      <c r="K7" s="326">
        <f>G7-J7</f>
        <v>1.2168458781362004</v>
      </c>
    </row>
    <row r="8" spans="1:11" ht="14.15" customHeight="1">
      <c r="A8" s="154" t="s">
        <v>9</v>
      </c>
      <c r="B8" s="129">
        <f>'6.1'!D62</f>
        <v>370452</v>
      </c>
      <c r="C8" s="313">
        <f>'6.1'!E62</f>
        <v>312614.58799999999</v>
      </c>
      <c r="D8" s="129">
        <f>'6.1'!F62</f>
        <v>3410933.3431899999</v>
      </c>
      <c r="E8" s="307">
        <f t="shared" ref="E8:E20" si="0">D8/$D$21</f>
        <v>0.13381335614074349</v>
      </c>
      <c r="F8" s="332">
        <f>'6.1'!H62</f>
        <v>0.13744706251484812</v>
      </c>
      <c r="G8" s="326">
        <f>AVERAGE('6.8'!G8,'6.9'!G8,'6.10'!G8)</f>
        <v>5.2359856630824373</v>
      </c>
      <c r="H8" s="327">
        <f>MAX('6.8'!H8,'6.9'!H8,'6.10'!H8)</f>
        <v>16.600000000000001</v>
      </c>
      <c r="I8" s="327">
        <f>MIN('6.8'!I8,'6.9'!I8,'6.10'!I8)</f>
        <v>-3.5</v>
      </c>
      <c r="J8" s="327">
        <f>AVERAGE('6.8'!J8,'6.9'!J8,'6.10'!J8)</f>
        <v>3.9666666666666672</v>
      </c>
      <c r="K8" s="326">
        <f t="shared" ref="K8:K23" si="1">G8-J8</f>
        <v>1.2693189964157701</v>
      </c>
    </row>
    <row r="9" spans="1:11" ht="14.15" customHeight="1">
      <c r="A9" s="154" t="s">
        <v>10</v>
      </c>
      <c r="B9" s="129">
        <f>'6.2'!D32</f>
        <v>81441</v>
      </c>
      <c r="C9" s="313">
        <f>'6.2'!E32</f>
        <v>71156.7</v>
      </c>
      <c r="D9" s="129">
        <f>'6.2'!F32</f>
        <v>776421.59002</v>
      </c>
      <c r="E9" s="307">
        <f t="shared" si="0"/>
        <v>3.0459574634648993E-2</v>
      </c>
      <c r="F9" s="332">
        <f>'6.2'!H32</f>
        <v>0.22167072421169731</v>
      </c>
      <c r="G9" s="326">
        <f>AVERAGE('6.8'!G9,'6.9'!G9,'6.10'!G9)</f>
        <v>3.8458422939068098</v>
      </c>
      <c r="H9" s="327">
        <f>MAX('6.8'!H9,'6.9'!H9,'6.10'!H9)</f>
        <v>13.1</v>
      </c>
      <c r="I9" s="327">
        <f>MIN('6.8'!I9,'6.9'!I9,'6.10'!I9)</f>
        <v>-3.8</v>
      </c>
      <c r="J9" s="327">
        <f>AVERAGE('6.8'!J9,'6.9'!J9,'6.10'!J9)</f>
        <v>2.6666666666666661</v>
      </c>
      <c r="K9" s="326">
        <f t="shared" si="1"/>
        <v>1.1791756272401437</v>
      </c>
    </row>
    <row r="10" spans="1:11" ht="14.15" customHeight="1">
      <c r="A10" s="154" t="s">
        <v>91</v>
      </c>
      <c r="B10" s="129">
        <f>'6.2'!D62</f>
        <v>114229</v>
      </c>
      <c r="C10" s="313">
        <f>'6.2'!E62</f>
        <v>97187.3</v>
      </c>
      <c r="D10" s="129">
        <f>'6.2'!F62</f>
        <v>1060494.8806700001</v>
      </c>
      <c r="E10" s="307">
        <f t="shared" si="0"/>
        <v>4.1603973128309019E-2</v>
      </c>
      <c r="F10" s="332">
        <f>'6.2'!H62</f>
        <v>0.1212388308519414</v>
      </c>
      <c r="G10" s="326">
        <f>AVERAGE('6.8'!G10,'6.9'!G10,'6.10'!G10)</f>
        <v>4.2913620071684573</v>
      </c>
      <c r="H10" s="327">
        <f>MAX('6.8'!H10,'6.9'!H10,'6.10'!H10)</f>
        <v>14.2</v>
      </c>
      <c r="I10" s="327">
        <f>MIN('6.8'!I10,'6.9'!I10,'6.10'!I10)</f>
        <v>-3.7</v>
      </c>
      <c r="J10" s="327">
        <f>AVERAGE('6.8'!J10,'6.9'!J10,'6.10'!J10)</f>
        <v>3.2333333333333347</v>
      </c>
      <c r="K10" s="326">
        <f t="shared" si="1"/>
        <v>1.0580286738351226</v>
      </c>
    </row>
    <row r="11" spans="1:11" ht="14.15" customHeight="1">
      <c r="A11" s="154" t="s">
        <v>11</v>
      </c>
      <c r="B11" s="129">
        <f>'6.3'!D32</f>
        <v>90211</v>
      </c>
      <c r="C11" s="313">
        <f>'6.3'!E32</f>
        <v>91405.416000000012</v>
      </c>
      <c r="D11" s="129">
        <f>'6.3'!F32</f>
        <v>997323.45602000004</v>
      </c>
      <c r="E11" s="307">
        <f t="shared" si="0"/>
        <v>3.9125712929678771E-2</v>
      </c>
      <c r="F11" s="332">
        <f>'6.3'!H32</f>
        <v>0.10312012435313229</v>
      </c>
      <c r="G11" s="326">
        <f>AVERAGE('6.8'!G11,'6.9'!G11,'6.10'!G11)</f>
        <v>4.6855913978494632</v>
      </c>
      <c r="H11" s="327">
        <f>MAX('6.8'!H11,'6.9'!H11,'6.10'!H11)</f>
        <v>14.8</v>
      </c>
      <c r="I11" s="327">
        <f>MIN('6.8'!I11,'6.9'!I11,'6.10'!I11)</f>
        <v>-3.5</v>
      </c>
      <c r="J11" s="327">
        <f>AVERAGE('6.8'!J11,'6.9'!J11,'6.10'!J11)</f>
        <v>3.4333333333333353</v>
      </c>
      <c r="K11" s="326">
        <f t="shared" si="1"/>
        <v>1.2522580645161279</v>
      </c>
    </row>
    <row r="12" spans="1:11" ht="14.15" customHeight="1">
      <c r="A12" s="154" t="s">
        <v>12</v>
      </c>
      <c r="B12" s="129">
        <f>'6.3'!D62</f>
        <v>365679</v>
      </c>
      <c r="C12" s="313">
        <f>'6.3'!E62</f>
        <v>240376.25399999999</v>
      </c>
      <c r="D12" s="129">
        <f>'6.3'!F62</f>
        <v>2621955.5960599999</v>
      </c>
      <c r="E12" s="307">
        <f t="shared" si="0"/>
        <v>0.10286119447666045</v>
      </c>
      <c r="F12" s="332">
        <f>'6.3'!H62</f>
        <v>7.1493942008789738E-2</v>
      </c>
      <c r="G12" s="326">
        <f>AVERAGE('6.8'!G12,'6.9'!G12,'6.10'!G12)</f>
        <v>4.8448028673835131</v>
      </c>
      <c r="H12" s="327">
        <f>MAX('6.8'!H12,'6.9'!H12,'6.10'!H12)</f>
        <v>16.3</v>
      </c>
      <c r="I12" s="327">
        <f>MIN('6.8'!I12,'6.9'!I12,'6.10'!I12)</f>
        <v>-3.7</v>
      </c>
      <c r="J12" s="327">
        <f>AVERAGE('6.8'!J12,'6.9'!J12,'6.10'!J12)</f>
        <v>3.4666666666666655</v>
      </c>
      <c r="K12" s="326">
        <f t="shared" si="1"/>
        <v>1.3781362007168476</v>
      </c>
    </row>
    <row r="13" spans="1:11" ht="14.15" customHeight="1">
      <c r="A13" s="154" t="s">
        <v>13</v>
      </c>
      <c r="B13" s="129">
        <f>'6.4'!D32</f>
        <v>181125</v>
      </c>
      <c r="C13" s="313">
        <f>'6.4'!E32</f>
        <v>141269.72500000001</v>
      </c>
      <c r="D13" s="129">
        <f>'6.4'!F32</f>
        <v>1541406.5038400001</v>
      </c>
      <c r="E13" s="307">
        <f t="shared" si="0"/>
        <v>6.0470480277137119E-2</v>
      </c>
      <c r="F13" s="332">
        <f>'6.4'!H32</f>
        <v>0.11777994308006905</v>
      </c>
      <c r="G13" s="326">
        <f>AVERAGE('6.8'!G13,'6.9'!G13,'6.10'!G13)</f>
        <v>4.5954480286738359</v>
      </c>
      <c r="H13" s="327">
        <f>MAX('6.8'!H13,'6.9'!H13,'6.10'!H13)</f>
        <v>15</v>
      </c>
      <c r="I13" s="327">
        <f>MIN('6.8'!I13,'6.9'!I13,'6.10'!I13)</f>
        <v>-2.5</v>
      </c>
      <c r="J13" s="327">
        <f>AVERAGE('6.8'!J13,'6.9'!J13,'6.10'!J13)</f>
        <v>2.8999999999999986</v>
      </c>
      <c r="K13" s="326">
        <f t="shared" si="1"/>
        <v>1.6954480286738374</v>
      </c>
    </row>
    <row r="14" spans="1:11" ht="14.15" customHeight="1">
      <c r="A14" s="154" t="s">
        <v>14</v>
      </c>
      <c r="B14" s="129">
        <f>'6.4'!D62</f>
        <v>132374</v>
      </c>
      <c r="C14" s="313">
        <f>'6.4'!E62</f>
        <v>99527.900000000009</v>
      </c>
      <c r="D14" s="129">
        <f>'6.4'!F62</f>
        <v>1086023.8945600002</v>
      </c>
      <c r="E14" s="307">
        <f t="shared" si="0"/>
        <v>4.2605494613448834E-2</v>
      </c>
      <c r="F14" s="332">
        <f>'6.4'!H62</f>
        <v>0.10030169664286501</v>
      </c>
      <c r="G14" s="326">
        <f>AVERAGE('6.8'!G14,'6.9'!G14,'6.10'!G14)</f>
        <v>4.6279211469534056</v>
      </c>
      <c r="H14" s="327">
        <f>MAX('6.8'!H14,'6.9'!H14,'6.10'!H14)</f>
        <v>14.9</v>
      </c>
      <c r="I14" s="327">
        <f>MIN('6.8'!I14,'6.9'!I14,'6.10'!I14)</f>
        <v>-3.8</v>
      </c>
      <c r="J14" s="327">
        <f>AVERAGE('6.8'!J14,'6.9'!J14,'6.10'!J14)</f>
        <v>3.8333333333333339</v>
      </c>
      <c r="K14" s="326">
        <f t="shared" si="1"/>
        <v>0.79458781362007169</v>
      </c>
    </row>
    <row r="15" spans="1:11" ht="14.15" customHeight="1">
      <c r="A15" s="154" t="s">
        <v>15</v>
      </c>
      <c r="B15" s="129">
        <f>'6.5'!D32</f>
        <v>155034</v>
      </c>
      <c r="C15" s="313">
        <f>'6.5'!E32</f>
        <v>105907.5</v>
      </c>
      <c r="D15" s="129">
        <f>'6.5'!F32</f>
        <v>1155662.2298800002</v>
      </c>
      <c r="E15" s="307">
        <f t="shared" si="0"/>
        <v>4.5337456345808207E-2</v>
      </c>
      <c r="F15" s="332">
        <f>'6.5'!H32</f>
        <v>0.14589239112088229</v>
      </c>
      <c r="G15" s="326">
        <f>AVERAGE('6.8'!G15,'6.9'!G15,'6.10'!G15)</f>
        <v>4.6838351254480282</v>
      </c>
      <c r="H15" s="327">
        <f>MAX('6.8'!H15,'6.9'!H15,'6.10'!H15)</f>
        <v>14.1</v>
      </c>
      <c r="I15" s="327">
        <f>MIN('6.8'!I15,'6.9'!I15,'6.10'!I15)</f>
        <v>-2.9</v>
      </c>
      <c r="J15" s="327">
        <f>AVERAGE('6.8'!J15,'6.9'!J15,'6.10'!J15)</f>
        <v>3.3999999999999986</v>
      </c>
      <c r="K15" s="326">
        <f t="shared" si="1"/>
        <v>1.2838351254480296</v>
      </c>
    </row>
    <row r="16" spans="1:11" ht="14.15" customHeight="1">
      <c r="A16" s="154" t="s">
        <v>1</v>
      </c>
      <c r="B16" s="129">
        <f>'6.5'!D62</f>
        <v>398053</v>
      </c>
      <c r="C16" s="313">
        <f>'6.5'!E62</f>
        <v>257692.21039328101</v>
      </c>
      <c r="D16" s="129">
        <f>'6.5'!F62</f>
        <v>2812366.0179328644</v>
      </c>
      <c r="E16" s="307">
        <f t="shared" si="0"/>
        <v>0.11033113159690734</v>
      </c>
      <c r="F16" s="332">
        <f>'6.5'!H62</f>
        <v>0.12879203975142489</v>
      </c>
      <c r="G16" s="326">
        <f>AVERAGE('6.8'!G16,'6.9'!G16,'6.10'!G16)</f>
        <v>6.1459139784946233</v>
      </c>
      <c r="H16" s="327">
        <f>MAX('6.8'!H16,'6.9'!H16,'6.10'!H16)</f>
        <v>16.3</v>
      </c>
      <c r="I16" s="327">
        <f>MIN('6.8'!I16,'6.9'!I16,'6.10'!I16)</f>
        <v>-3.1</v>
      </c>
      <c r="J16" s="327">
        <f>AVERAGE('6.8'!J16,'6.9'!J16,'6.10'!J16)</f>
        <v>4.6000000000000014</v>
      </c>
      <c r="K16" s="326">
        <f t="shared" si="1"/>
        <v>1.5459139784946219</v>
      </c>
    </row>
    <row r="17" spans="1:16" ht="14.15" customHeight="1">
      <c r="A17" s="154" t="s">
        <v>16</v>
      </c>
      <c r="B17" s="129">
        <f>'6.6'!D32</f>
        <v>252835</v>
      </c>
      <c r="C17" s="313">
        <f>'6.6'!E32</f>
        <v>305536.071</v>
      </c>
      <c r="D17" s="129">
        <f>'6.6'!F32</f>
        <v>3334443.9358469998</v>
      </c>
      <c r="E17" s="307">
        <f t="shared" si="0"/>
        <v>0.1308126219498458</v>
      </c>
      <c r="F17" s="332">
        <f>'6.6'!H32</f>
        <v>0.10457150586422978</v>
      </c>
      <c r="G17" s="326">
        <f>AVERAGE('6.8'!G17,'6.9'!G17,'6.10'!G17)</f>
        <v>5.148530465949821</v>
      </c>
      <c r="H17" s="327">
        <f>MAX('6.8'!H17,'6.9'!H17,'6.10'!H17)</f>
        <v>15.3</v>
      </c>
      <c r="I17" s="327">
        <f>MIN('6.8'!I17,'6.9'!I17,'6.10'!I17)</f>
        <v>-3.1</v>
      </c>
      <c r="J17" s="327">
        <f>AVERAGE('6.8'!J17,'6.9'!J17,'6.10'!J17)</f>
        <v>4.299999999999998</v>
      </c>
      <c r="K17" s="326">
        <f t="shared" si="1"/>
        <v>0.84853046594982295</v>
      </c>
      <c r="L17" s="93"/>
      <c r="N17" s="93"/>
      <c r="O17" s="93"/>
      <c r="P17" s="93"/>
    </row>
    <row r="18" spans="1:16" ht="14.15" customHeight="1">
      <c r="A18" s="154" t="s">
        <v>17</v>
      </c>
      <c r="B18" s="129">
        <f>'6.6'!D62</f>
        <v>215233</v>
      </c>
      <c r="C18" s="313">
        <f>'6.6'!E62</f>
        <v>325184.30799999996</v>
      </c>
      <c r="D18" s="129">
        <f>'6.6'!F62</f>
        <v>3549729.3692869996</v>
      </c>
      <c r="E18" s="307">
        <f t="shared" si="0"/>
        <v>0.13925842357605961</v>
      </c>
      <c r="F18" s="332">
        <f>'6.6'!H62</f>
        <v>0.28746325410677392</v>
      </c>
      <c r="G18" s="326">
        <f>AVERAGE('6.8'!G18,'6.9'!G18,'6.10'!G18)</f>
        <v>4.8722580645161289</v>
      </c>
      <c r="H18" s="327">
        <f>MAX('6.8'!H18,'6.9'!H18,'6.10'!H18)</f>
        <v>15</v>
      </c>
      <c r="I18" s="327">
        <f>MIN('6.8'!I18,'6.9'!I18,'6.10'!I18)</f>
        <v>-3.6</v>
      </c>
      <c r="J18" s="327">
        <f>AVERAGE('6.8'!J18,'6.9'!J18,'6.10'!J18)</f>
        <v>4.3333333333333321</v>
      </c>
      <c r="K18" s="326">
        <f t="shared" si="1"/>
        <v>0.53892473118279671</v>
      </c>
      <c r="L18" s="93"/>
      <c r="N18" s="93"/>
      <c r="O18" s="93"/>
      <c r="P18" s="93"/>
    </row>
    <row r="19" spans="1:16" ht="14.15" customHeight="1">
      <c r="A19" s="154" t="s">
        <v>18</v>
      </c>
      <c r="B19" s="129">
        <f>'6.7'!D32</f>
        <v>117198</v>
      </c>
      <c r="C19" s="313">
        <f>'6.7'!E32</f>
        <v>92783.448084000003</v>
      </c>
      <c r="D19" s="129">
        <f>'6.7'!F32</f>
        <v>1012401.667042</v>
      </c>
      <c r="E19" s="307">
        <f t="shared" si="0"/>
        <v>3.9717241939027627E-2</v>
      </c>
      <c r="F19" s="332">
        <f>'6.7'!H32</f>
        <v>0.12557317658382661</v>
      </c>
      <c r="G19" s="326">
        <f>AVERAGE('6.8'!G19,'6.9'!G19,'6.10'!G19)</f>
        <v>4.1251254480286734</v>
      </c>
      <c r="H19" s="327">
        <f>MAX('6.8'!H19,'6.9'!H19,'6.10'!H19)</f>
        <v>14.2</v>
      </c>
      <c r="I19" s="327">
        <f>MIN('6.8'!I19,'6.9'!I19,'6.10'!I19)</f>
        <v>-3.1</v>
      </c>
      <c r="J19" s="327">
        <f>AVERAGE('6.8'!J19,'6.9'!J19,'6.10'!J19)</f>
        <v>2.7000000000000006</v>
      </c>
      <c r="K19" s="326">
        <f t="shared" si="1"/>
        <v>1.4251254480286728</v>
      </c>
      <c r="L19" s="93"/>
      <c r="N19" s="93"/>
      <c r="O19" s="93"/>
      <c r="P19" s="93"/>
    </row>
    <row r="20" spans="1:16" ht="14.15" customHeight="1">
      <c r="A20" s="204" t="s">
        <v>19</v>
      </c>
      <c r="B20" s="310">
        <f>'6.7'!D62</f>
        <v>151542</v>
      </c>
      <c r="C20" s="314">
        <f>'6.7'!E62</f>
        <v>115109.70000000001</v>
      </c>
      <c r="D20" s="310">
        <f>'6.7'!F62</f>
        <v>1255948.5819600001</v>
      </c>
      <c r="E20" s="311">
        <f t="shared" si="0"/>
        <v>4.9271761709391355E-2</v>
      </c>
      <c r="F20" s="333">
        <f>'6.7'!H62</f>
        <v>0.11971584376270644</v>
      </c>
      <c r="G20" s="328">
        <f>AVERAGE('6.8'!G20,'6.9'!G20,'6.10'!G20)</f>
        <v>4.3194982078853039</v>
      </c>
      <c r="H20" s="329">
        <f>MAX('6.8'!H20,'6.9'!H20,'6.10'!H20)</f>
        <v>15.6</v>
      </c>
      <c r="I20" s="329">
        <f>MIN('6.8'!I20,'6.9'!I20,'6.10'!I20)</f>
        <v>-3.2</v>
      </c>
      <c r="J20" s="329">
        <f>AVERAGE('6.8'!J20,'6.9'!J20,'6.10'!J20)</f>
        <v>4.0000000000000009</v>
      </c>
      <c r="K20" s="328">
        <f t="shared" si="1"/>
        <v>0.31949820788530303</v>
      </c>
      <c r="L20" s="93"/>
    </row>
    <row r="21" spans="1:16" ht="14.15" customHeight="1">
      <c r="A21" s="154" t="s">
        <v>0</v>
      </c>
      <c r="B21" s="156">
        <f>SUM(B7:B20)</f>
        <v>2727457</v>
      </c>
      <c r="C21" s="313">
        <f>SUM(C7:C20)</f>
        <v>2335964.6853932808</v>
      </c>
      <c r="D21" s="129">
        <f>SUM(D7:D20)</f>
        <v>25490230.882501859</v>
      </c>
      <c r="E21" s="367">
        <f>SUM(E7:E20)</f>
        <v>1</v>
      </c>
      <c r="F21" s="332"/>
      <c r="G21" s="256">
        <f>AVERAGE('6.8'!G21,'6.9'!G21,'6.10'!G21)</f>
        <v>4.6286021505376338</v>
      </c>
      <c r="H21" s="256">
        <f>MAX('6.8'!H21,'6.9'!H21,'6.10'!H21)</f>
        <v>14.6</v>
      </c>
      <c r="I21" s="256">
        <f>MIN('6.8'!I21,'6.9'!I21,'6.10'!I21)</f>
        <v>-2.6</v>
      </c>
      <c r="J21" s="256">
        <f>AVERAGE('6.8'!J21,'6.9'!J21,'6.10'!J21)</f>
        <v>3.83921146953405</v>
      </c>
      <c r="K21" s="256">
        <f t="shared" si="1"/>
        <v>0.78939068100358378</v>
      </c>
      <c r="M21" s="105"/>
    </row>
    <row r="22" spans="1:16" ht="14.15" customHeight="1">
      <c r="A22" s="204" t="s">
        <v>93</v>
      </c>
      <c r="B22" s="368"/>
      <c r="C22" s="314">
        <f>'5.1'!E34</f>
        <v>33937.952582245998</v>
      </c>
      <c r="D22" s="310">
        <f>'5.1'!F34</f>
        <v>371951.982406369</v>
      </c>
      <c r="E22" s="368"/>
      <c r="F22" s="333">
        <f>'5.1'!H34</f>
        <v>0.20510963355079401</v>
      </c>
      <c r="G22" s="262">
        <f>AVERAGE('6.8'!G22,'6.9'!G22,'6.10'!G22)</f>
        <v>4.6286021505376338</v>
      </c>
      <c r="H22" s="262">
        <f>MAX('6.8'!H22,'6.9'!H22,'6.10'!H22)</f>
        <v>14.6</v>
      </c>
      <c r="I22" s="262">
        <f>MIN('6.8'!I22,'6.9'!I22,'6.10'!I22)</f>
        <v>-2.6</v>
      </c>
      <c r="J22" s="262">
        <f>AVERAGE('6.8'!J22,'6.9'!J22,'6.10'!J22)</f>
        <v>3.83921146953405</v>
      </c>
      <c r="K22" s="262">
        <f t="shared" si="1"/>
        <v>0.78939068100358378</v>
      </c>
    </row>
    <row r="23" spans="1:16" ht="14.15" customHeight="1">
      <c r="A23" s="204" t="s">
        <v>55</v>
      </c>
      <c r="B23" s="161">
        <f>B21+B22</f>
        <v>2727457</v>
      </c>
      <c r="C23" s="314">
        <f t="shared" ref="C23:D23" si="2">C21+C22</f>
        <v>2369902.637975527</v>
      </c>
      <c r="D23" s="310">
        <f t="shared" si="2"/>
        <v>25862182.86490823</v>
      </c>
      <c r="E23" s="368"/>
      <c r="F23" s="333">
        <f>'5.1'!H35</f>
        <v>0.14131992877303923</v>
      </c>
      <c r="G23" s="262">
        <f>AVERAGE('6.8'!G23,'6.9'!G23,'6.10'!G23)</f>
        <v>4.6286021505376338</v>
      </c>
      <c r="H23" s="262">
        <f>MAX('6.8'!H23,'6.9'!H23,'6.10'!H23)</f>
        <v>14.6</v>
      </c>
      <c r="I23" s="262">
        <f>MIN('6.8'!I23,'6.9'!I23,'6.10'!I23)</f>
        <v>-2.6</v>
      </c>
      <c r="J23" s="262">
        <f>AVERAGE('6.8'!J23,'6.9'!J23,'6.10'!J23)</f>
        <v>3.83921146953405</v>
      </c>
      <c r="K23" s="262">
        <f t="shared" si="1"/>
        <v>0.78939068100358378</v>
      </c>
    </row>
    <row r="24" spans="1:16" ht="15" customHeight="1">
      <c r="A24" s="101"/>
      <c r="B24" s="94"/>
      <c r="C24" s="504" t="s">
        <v>240</v>
      </c>
      <c r="D24" s="504"/>
      <c r="E24" s="504"/>
      <c r="F24" s="504"/>
      <c r="G24" s="507" t="s">
        <v>238</v>
      </c>
      <c r="H24" s="507"/>
      <c r="I24" s="507"/>
      <c r="J24" s="507"/>
      <c r="K24" s="507"/>
    </row>
    <row r="25" spans="1:16" ht="15" customHeight="1">
      <c r="A25" s="94"/>
      <c r="B25" s="94"/>
      <c r="C25" s="504"/>
      <c r="D25" s="504"/>
      <c r="E25" s="504"/>
      <c r="F25" s="504"/>
      <c r="G25" s="507" t="s">
        <v>239</v>
      </c>
      <c r="H25" s="507"/>
      <c r="I25" s="507"/>
      <c r="J25" s="507"/>
      <c r="K25" s="507"/>
    </row>
    <row r="26" spans="1:16" ht="30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</row>
    <row r="27" spans="1:16" ht="15" customHeight="1">
      <c r="A27" s="87"/>
      <c r="B27" s="87"/>
      <c r="C27" s="94"/>
      <c r="D27" s="99"/>
      <c r="E27" s="100"/>
      <c r="F27" s="100"/>
      <c r="G27" s="94"/>
      <c r="H27" s="101"/>
      <c r="I27" s="87"/>
      <c r="J27" s="94"/>
      <c r="K27" s="94"/>
    </row>
    <row r="28" spans="1:16" ht="18" customHeight="1">
      <c r="A28" s="94"/>
      <c r="B28" s="94"/>
      <c r="C28" s="94"/>
      <c r="D28" s="99"/>
      <c r="E28" s="100"/>
      <c r="F28" s="100"/>
      <c r="G28" s="94"/>
      <c r="H28" s="94"/>
      <c r="I28" s="94"/>
      <c r="J28" s="94"/>
      <c r="K28" s="94"/>
    </row>
    <row r="29" spans="1:16" ht="15" customHeight="1">
      <c r="A29" s="468" t="s">
        <v>253</v>
      </c>
      <c r="B29" s="468"/>
      <c r="C29" s="468"/>
      <c r="D29" s="468"/>
      <c r="E29" s="468"/>
      <c r="F29" s="468" t="s">
        <v>61</v>
      </c>
      <c r="G29" s="468"/>
      <c r="H29" s="468"/>
      <c r="I29" s="468"/>
      <c r="J29" s="468"/>
      <c r="K29" s="468"/>
    </row>
    <row r="30" spans="1:16" ht="15" customHeight="1">
      <c r="A30" s="120"/>
      <c r="B30" s="510"/>
      <c r="C30" s="510"/>
      <c r="D30" s="120"/>
      <c r="E30" s="120"/>
      <c r="F30" s="120"/>
      <c r="G30" s="120"/>
      <c r="H30" s="510"/>
      <c r="I30" s="505"/>
      <c r="J30" s="120"/>
      <c r="K30" s="120"/>
    </row>
    <row r="31" spans="1:16" ht="1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</row>
    <row r="32" spans="1:16" ht="1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</row>
    <row r="33" spans="1:11" ht="1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</row>
    <row r="34" spans="1:11" ht="1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</row>
    <row r="35" spans="1:11" ht="1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</row>
    <row r="36" spans="1:11" ht="1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</row>
    <row r="37" spans="1:11" ht="1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</row>
    <row r="38" spans="1:11" ht="1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</row>
    <row r="39" spans="1:11" ht="1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</row>
    <row r="40" spans="1:11" ht="1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</row>
    <row r="41" spans="1:11" ht="1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1" ht="1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1" ht="1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1" ht="1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1" ht="1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</row>
    <row r="46" spans="1:11" ht="1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</row>
    <row r="47" spans="1:11" ht="1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ht="1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 ht="1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1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</sheetData>
  <mergeCells count="15">
    <mergeCell ref="A1:K1"/>
    <mergeCell ref="A2:B2"/>
    <mergeCell ref="A3:K3"/>
    <mergeCell ref="B30:C30"/>
    <mergeCell ref="H30:I30"/>
    <mergeCell ref="B5:B6"/>
    <mergeCell ref="C4:F4"/>
    <mergeCell ref="G4:K4"/>
    <mergeCell ref="G24:K24"/>
    <mergeCell ref="G25:K25"/>
    <mergeCell ref="C24:F25"/>
    <mergeCell ref="F29:K29"/>
    <mergeCell ref="A29:E29"/>
    <mergeCell ref="E5:E6"/>
    <mergeCell ref="F5:F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4"/>
  <dimension ref="A1:V58"/>
  <sheetViews>
    <sheetView showGridLines="0" topLeftCell="A37" zoomScaleNormal="100" zoomScaleSheetLayoutView="100" workbookViewId="0">
      <selection activeCell="D1" sqref="D1"/>
    </sheetView>
  </sheetViews>
  <sheetFormatPr defaultRowHeight="10"/>
  <cols>
    <col min="1" max="1" width="8" style="12" customWidth="1"/>
    <col min="2" max="2" width="7.7265625" style="12" customWidth="1"/>
    <col min="3" max="3" width="8.453125" style="12" customWidth="1"/>
    <col min="4" max="11" width="7.7265625" style="12" customWidth="1"/>
    <col min="12" max="13" width="8.54296875" style="12" customWidth="1"/>
    <col min="14" max="15" width="7.7265625" style="12" customWidth="1"/>
    <col min="16" max="16" width="9.1796875" style="12" customWidth="1"/>
    <col min="17" max="17" width="7.54296875" style="12" customWidth="1"/>
    <col min="18" max="18" width="8.54296875" style="12" customWidth="1"/>
    <col min="19" max="19" width="9.26953125" style="12" bestFit="1" customWidth="1"/>
    <col min="20" max="20" width="11.453125" style="12" bestFit="1" customWidth="1"/>
    <col min="21" max="259" width="9.1796875" style="12"/>
    <col min="260" max="272" width="10.7265625" style="12" customWidth="1"/>
    <col min="273" max="515" width="9.1796875" style="12"/>
    <col min="516" max="528" width="10.7265625" style="12" customWidth="1"/>
    <col min="529" max="771" width="9.1796875" style="12"/>
    <col min="772" max="784" width="10.7265625" style="12" customWidth="1"/>
    <col min="785" max="1027" width="9.1796875" style="12"/>
    <col min="1028" max="1040" width="10.7265625" style="12" customWidth="1"/>
    <col min="1041" max="1283" width="9.1796875" style="12"/>
    <col min="1284" max="1296" width="10.7265625" style="12" customWidth="1"/>
    <col min="1297" max="1539" width="9.1796875" style="12"/>
    <col min="1540" max="1552" width="10.7265625" style="12" customWidth="1"/>
    <col min="1553" max="1795" width="9.1796875" style="12"/>
    <col min="1796" max="1808" width="10.7265625" style="12" customWidth="1"/>
    <col min="1809" max="2051" width="9.1796875" style="12"/>
    <col min="2052" max="2064" width="10.7265625" style="12" customWidth="1"/>
    <col min="2065" max="2307" width="9.1796875" style="12"/>
    <col min="2308" max="2320" width="10.7265625" style="12" customWidth="1"/>
    <col min="2321" max="2563" width="9.1796875" style="12"/>
    <col min="2564" max="2576" width="10.7265625" style="12" customWidth="1"/>
    <col min="2577" max="2819" width="9.1796875" style="12"/>
    <col min="2820" max="2832" width="10.7265625" style="12" customWidth="1"/>
    <col min="2833" max="3075" width="9.1796875" style="12"/>
    <col min="3076" max="3088" width="10.7265625" style="12" customWidth="1"/>
    <col min="3089" max="3331" width="9.1796875" style="12"/>
    <col min="3332" max="3344" width="10.7265625" style="12" customWidth="1"/>
    <col min="3345" max="3587" width="9.1796875" style="12"/>
    <col min="3588" max="3600" width="10.7265625" style="12" customWidth="1"/>
    <col min="3601" max="3843" width="9.1796875" style="12"/>
    <col min="3844" max="3856" width="10.7265625" style="12" customWidth="1"/>
    <col min="3857" max="4099" width="9.1796875" style="12"/>
    <col min="4100" max="4112" width="10.7265625" style="12" customWidth="1"/>
    <col min="4113" max="4355" width="9.1796875" style="12"/>
    <col min="4356" max="4368" width="10.7265625" style="12" customWidth="1"/>
    <col min="4369" max="4611" width="9.1796875" style="12"/>
    <col min="4612" max="4624" width="10.7265625" style="12" customWidth="1"/>
    <col min="4625" max="4867" width="9.1796875" style="12"/>
    <col min="4868" max="4880" width="10.7265625" style="12" customWidth="1"/>
    <col min="4881" max="5123" width="9.1796875" style="12"/>
    <col min="5124" max="5136" width="10.7265625" style="12" customWidth="1"/>
    <col min="5137" max="5379" width="9.1796875" style="12"/>
    <col min="5380" max="5392" width="10.7265625" style="12" customWidth="1"/>
    <col min="5393" max="5635" width="9.1796875" style="12"/>
    <col min="5636" max="5648" width="10.7265625" style="12" customWidth="1"/>
    <col min="5649" max="5891" width="9.1796875" style="12"/>
    <col min="5892" max="5904" width="10.7265625" style="12" customWidth="1"/>
    <col min="5905" max="6147" width="9.1796875" style="12"/>
    <col min="6148" max="6160" width="10.7265625" style="12" customWidth="1"/>
    <col min="6161" max="6403" width="9.1796875" style="12"/>
    <col min="6404" max="6416" width="10.7265625" style="12" customWidth="1"/>
    <col min="6417" max="6659" width="9.1796875" style="12"/>
    <col min="6660" max="6672" width="10.7265625" style="12" customWidth="1"/>
    <col min="6673" max="6915" width="9.1796875" style="12"/>
    <col min="6916" max="6928" width="10.7265625" style="12" customWidth="1"/>
    <col min="6929" max="7171" width="9.1796875" style="12"/>
    <col min="7172" max="7184" width="10.7265625" style="12" customWidth="1"/>
    <col min="7185" max="7427" width="9.1796875" style="12"/>
    <col min="7428" max="7440" width="10.7265625" style="12" customWidth="1"/>
    <col min="7441" max="7683" width="9.1796875" style="12"/>
    <col min="7684" max="7696" width="10.7265625" style="12" customWidth="1"/>
    <col min="7697" max="7939" width="9.1796875" style="12"/>
    <col min="7940" max="7952" width="10.7265625" style="12" customWidth="1"/>
    <col min="7953" max="8195" width="9.1796875" style="12"/>
    <col min="8196" max="8208" width="10.7265625" style="12" customWidth="1"/>
    <col min="8209" max="8451" width="9.1796875" style="12"/>
    <col min="8452" max="8464" width="10.7265625" style="12" customWidth="1"/>
    <col min="8465" max="8707" width="9.1796875" style="12"/>
    <col min="8708" max="8720" width="10.7265625" style="12" customWidth="1"/>
    <col min="8721" max="8963" width="9.1796875" style="12"/>
    <col min="8964" max="8976" width="10.7265625" style="12" customWidth="1"/>
    <col min="8977" max="9219" width="9.1796875" style="12"/>
    <col min="9220" max="9232" width="10.7265625" style="12" customWidth="1"/>
    <col min="9233" max="9475" width="9.1796875" style="12"/>
    <col min="9476" max="9488" width="10.7265625" style="12" customWidth="1"/>
    <col min="9489" max="9731" width="9.1796875" style="12"/>
    <col min="9732" max="9744" width="10.7265625" style="12" customWidth="1"/>
    <col min="9745" max="9987" width="9.1796875" style="12"/>
    <col min="9988" max="10000" width="10.7265625" style="12" customWidth="1"/>
    <col min="10001" max="10243" width="9.1796875" style="12"/>
    <col min="10244" max="10256" width="10.7265625" style="12" customWidth="1"/>
    <col min="10257" max="10499" width="9.1796875" style="12"/>
    <col min="10500" max="10512" width="10.7265625" style="12" customWidth="1"/>
    <col min="10513" max="10755" width="9.1796875" style="12"/>
    <col min="10756" max="10768" width="10.7265625" style="12" customWidth="1"/>
    <col min="10769" max="11011" width="9.1796875" style="12"/>
    <col min="11012" max="11024" width="10.7265625" style="12" customWidth="1"/>
    <col min="11025" max="11267" width="9.1796875" style="12"/>
    <col min="11268" max="11280" width="10.7265625" style="12" customWidth="1"/>
    <col min="11281" max="11523" width="9.1796875" style="12"/>
    <col min="11524" max="11536" width="10.7265625" style="12" customWidth="1"/>
    <col min="11537" max="11779" width="9.1796875" style="12"/>
    <col min="11780" max="11792" width="10.7265625" style="12" customWidth="1"/>
    <col min="11793" max="12035" width="9.1796875" style="12"/>
    <col min="12036" max="12048" width="10.7265625" style="12" customWidth="1"/>
    <col min="12049" max="12291" width="9.1796875" style="12"/>
    <col min="12292" max="12304" width="10.7265625" style="12" customWidth="1"/>
    <col min="12305" max="12547" width="9.1796875" style="12"/>
    <col min="12548" max="12560" width="10.7265625" style="12" customWidth="1"/>
    <col min="12561" max="12803" width="9.1796875" style="12"/>
    <col min="12804" max="12816" width="10.7265625" style="12" customWidth="1"/>
    <col min="12817" max="13059" width="9.1796875" style="12"/>
    <col min="13060" max="13072" width="10.7265625" style="12" customWidth="1"/>
    <col min="13073" max="13315" width="9.1796875" style="12"/>
    <col min="13316" max="13328" width="10.7265625" style="12" customWidth="1"/>
    <col min="13329" max="13571" width="9.1796875" style="12"/>
    <col min="13572" max="13584" width="10.7265625" style="12" customWidth="1"/>
    <col min="13585" max="13827" width="9.1796875" style="12"/>
    <col min="13828" max="13840" width="10.7265625" style="12" customWidth="1"/>
    <col min="13841" max="14083" width="9.1796875" style="12"/>
    <col min="14084" max="14096" width="10.7265625" style="12" customWidth="1"/>
    <col min="14097" max="14339" width="9.1796875" style="12"/>
    <col min="14340" max="14352" width="10.7265625" style="12" customWidth="1"/>
    <col min="14353" max="14595" width="9.1796875" style="12"/>
    <col min="14596" max="14608" width="10.7265625" style="12" customWidth="1"/>
    <col min="14609" max="14851" width="9.1796875" style="12"/>
    <col min="14852" max="14864" width="10.7265625" style="12" customWidth="1"/>
    <col min="14865" max="15107" width="9.1796875" style="12"/>
    <col min="15108" max="15120" width="10.7265625" style="12" customWidth="1"/>
    <col min="15121" max="15363" width="9.1796875" style="12"/>
    <col min="15364" max="15376" width="10.7265625" style="12" customWidth="1"/>
    <col min="15377" max="15619" width="9.1796875" style="12"/>
    <col min="15620" max="15632" width="10.7265625" style="12" customWidth="1"/>
    <col min="15633" max="15875" width="9.1796875" style="12"/>
    <col min="15876" max="15888" width="10.7265625" style="12" customWidth="1"/>
    <col min="15889" max="16131" width="9.1796875" style="12"/>
    <col min="16132" max="16144" width="10.7265625" style="12" customWidth="1"/>
    <col min="16145" max="16384" width="9.1796875" style="12"/>
  </cols>
  <sheetData>
    <row r="1" spans="1:22" ht="18">
      <c r="A1" s="441" t="s">
        <v>306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22" ht="6" customHeight="1">
      <c r="A2" s="514"/>
      <c r="B2" s="515"/>
      <c r="C2" s="515"/>
      <c r="D2" s="515"/>
      <c r="E2" s="515"/>
      <c r="F2" s="515"/>
      <c r="G2" s="515"/>
      <c r="H2" s="515"/>
      <c r="I2" s="515"/>
      <c r="J2" s="208"/>
      <c r="K2" s="207"/>
      <c r="L2" s="207"/>
      <c r="M2" s="207"/>
      <c r="N2" s="207"/>
      <c r="O2" s="207"/>
      <c r="P2" s="207"/>
      <c r="Q2" s="207"/>
      <c r="R2" s="207"/>
    </row>
    <row r="3" spans="1:22" ht="35.15" customHeight="1">
      <c r="A3" s="437" t="s">
        <v>272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2" ht="85" customHeight="1">
      <c r="A4" s="218">
        <f>'3.1'!A4</f>
        <v>2024</v>
      </c>
      <c r="B4" s="370" t="s">
        <v>67</v>
      </c>
      <c r="C4" s="370" t="s">
        <v>68</v>
      </c>
      <c r="D4" s="370" t="s">
        <v>69</v>
      </c>
      <c r="E4" s="370" t="s">
        <v>90</v>
      </c>
      <c r="F4" s="370" t="s">
        <v>70</v>
      </c>
      <c r="G4" s="370" t="s">
        <v>71</v>
      </c>
      <c r="H4" s="370" t="s">
        <v>72</v>
      </c>
      <c r="I4" s="370" t="s">
        <v>73</v>
      </c>
      <c r="J4" s="370" t="s">
        <v>74</v>
      </c>
      <c r="K4" s="370" t="s">
        <v>75</v>
      </c>
      <c r="L4" s="370" t="s">
        <v>76</v>
      </c>
      <c r="M4" s="370" t="s">
        <v>77</v>
      </c>
      <c r="N4" s="370" t="s">
        <v>78</v>
      </c>
      <c r="O4" s="370" t="s">
        <v>79</v>
      </c>
      <c r="P4" s="370" t="s">
        <v>80</v>
      </c>
      <c r="Q4" s="370" t="s">
        <v>94</v>
      </c>
      <c r="R4" s="370" t="s">
        <v>81</v>
      </c>
    </row>
    <row r="5" spans="1:22" ht="20.149999999999999" customHeight="1">
      <c r="A5" s="176" t="s">
        <v>159</v>
      </c>
      <c r="B5" s="235">
        <v>35627.365400000002</v>
      </c>
      <c r="C5" s="235">
        <v>142922.29999999999</v>
      </c>
      <c r="D5" s="236">
        <v>27212.799999999999</v>
      </c>
      <c r="E5" s="236">
        <v>45162.6</v>
      </c>
      <c r="F5" s="236">
        <v>43539.142</v>
      </c>
      <c r="G5" s="236">
        <v>109104.401</v>
      </c>
      <c r="H5" s="236">
        <v>64485.3</v>
      </c>
      <c r="I5" s="236">
        <v>45997.1</v>
      </c>
      <c r="J5" s="236">
        <v>47776.4</v>
      </c>
      <c r="K5" s="235">
        <v>125160.37680209799</v>
      </c>
      <c r="L5" s="235">
        <v>132519.61700000003</v>
      </c>
      <c r="M5" s="236">
        <v>123724.105</v>
      </c>
      <c r="N5" s="236">
        <v>42806.623599999999</v>
      </c>
      <c r="O5" s="236">
        <v>54221.599999999999</v>
      </c>
      <c r="P5" s="236">
        <v>1040259.7308020979</v>
      </c>
      <c r="Q5" s="236">
        <v>11591.29548490569</v>
      </c>
      <c r="R5" s="236">
        <v>1051851.0262870037</v>
      </c>
      <c r="S5" s="56"/>
      <c r="T5" s="57"/>
      <c r="U5" s="57"/>
      <c r="V5" s="57"/>
    </row>
    <row r="6" spans="1:22" ht="20.149999999999999" customHeight="1">
      <c r="A6" s="176" t="s">
        <v>160</v>
      </c>
      <c r="B6" s="235">
        <v>24547.655930000004</v>
      </c>
      <c r="C6" s="236">
        <v>92278.900000000009</v>
      </c>
      <c r="D6" s="236">
        <v>22157.200000000001</v>
      </c>
      <c r="E6" s="236">
        <v>29928.5</v>
      </c>
      <c r="F6" s="236">
        <v>29707.341999999997</v>
      </c>
      <c r="G6" s="236">
        <v>75802.12000000001</v>
      </c>
      <c r="H6" s="236">
        <v>41567.9</v>
      </c>
      <c r="I6" s="236">
        <v>31068.1</v>
      </c>
      <c r="J6" s="236">
        <v>33657.600000000006</v>
      </c>
      <c r="K6" s="235">
        <v>80688.982130340999</v>
      </c>
      <c r="L6" s="236">
        <v>92269.438999999998</v>
      </c>
      <c r="M6" s="236">
        <v>73329.33600000001</v>
      </c>
      <c r="N6" s="236">
        <v>28918.535399999997</v>
      </c>
      <c r="O6" s="236">
        <v>36649.800000000003</v>
      </c>
      <c r="P6" s="236">
        <v>692571.41046034114</v>
      </c>
      <c r="Q6" s="236">
        <v>15373.306542064</v>
      </c>
      <c r="R6" s="236">
        <v>707944.71700240509</v>
      </c>
      <c r="S6" s="58"/>
      <c r="T6" s="57"/>
      <c r="U6" s="57"/>
      <c r="V6" s="57"/>
    </row>
    <row r="7" spans="1:22" ht="20.149999999999999" customHeight="1">
      <c r="A7" s="179" t="s">
        <v>161</v>
      </c>
      <c r="B7" s="238">
        <v>22271.741390000003</v>
      </c>
      <c r="C7" s="239">
        <v>82104.899999999994</v>
      </c>
      <c r="D7" s="239">
        <v>21028.700000000004</v>
      </c>
      <c r="E7" s="239">
        <v>26538.7</v>
      </c>
      <c r="F7" s="239">
        <v>25966.998999999996</v>
      </c>
      <c r="G7" s="239">
        <v>72255.428</v>
      </c>
      <c r="H7" s="239">
        <v>37252.699000000001</v>
      </c>
      <c r="I7" s="239">
        <v>28315.599999999999</v>
      </c>
      <c r="J7" s="239">
        <v>30774.300000000003</v>
      </c>
      <c r="K7" s="238">
        <v>70604.677185768</v>
      </c>
      <c r="L7" s="239">
        <v>85679.387999999992</v>
      </c>
      <c r="M7" s="239">
        <v>80909.22099999999</v>
      </c>
      <c r="N7" s="239">
        <v>26340.7186</v>
      </c>
      <c r="O7" s="239">
        <v>32667.5</v>
      </c>
      <c r="P7" s="239">
        <v>642710.57217576797</v>
      </c>
      <c r="Q7" s="239">
        <v>12292.972791310667</v>
      </c>
      <c r="R7" s="239">
        <v>655003.5449670786</v>
      </c>
      <c r="S7" s="59"/>
      <c r="T7" s="57"/>
      <c r="U7" s="57"/>
      <c r="V7" s="57"/>
    </row>
    <row r="8" spans="1:22" ht="20.149999999999999" customHeight="1">
      <c r="A8" s="176" t="s">
        <v>162</v>
      </c>
      <c r="B8" s="235">
        <v>16160.199629999999</v>
      </c>
      <c r="C8" s="236">
        <v>54067</v>
      </c>
      <c r="D8" s="236">
        <v>14553.6</v>
      </c>
      <c r="E8" s="236">
        <v>19798.099999999999</v>
      </c>
      <c r="F8" s="236">
        <v>18591.374</v>
      </c>
      <c r="G8" s="236">
        <v>56833.026000000005</v>
      </c>
      <c r="H8" s="236">
        <v>26896.330999999998</v>
      </c>
      <c r="I8" s="236">
        <v>21398.9</v>
      </c>
      <c r="J8" s="236">
        <v>23430.800000000003</v>
      </c>
      <c r="K8" s="235">
        <v>46373.073615163004</v>
      </c>
      <c r="L8" s="236">
        <v>61105.705000000002</v>
      </c>
      <c r="M8" s="236">
        <v>70947.482999999993</v>
      </c>
      <c r="N8" s="236">
        <v>18919.328379999999</v>
      </c>
      <c r="O8" s="236">
        <v>22386.600000000002</v>
      </c>
      <c r="P8" s="236">
        <v>471461.52062516299</v>
      </c>
      <c r="Q8" s="236">
        <v>3335.5741781400002</v>
      </c>
      <c r="R8" s="236">
        <v>474797.09480330301</v>
      </c>
      <c r="S8" s="58"/>
      <c r="T8" s="57"/>
      <c r="U8" s="57"/>
      <c r="V8" s="57"/>
    </row>
    <row r="9" spans="1:22" ht="20.149999999999999" customHeight="1">
      <c r="A9" s="176" t="s">
        <v>163</v>
      </c>
      <c r="B9" s="235">
        <v>10574.870150000001</v>
      </c>
      <c r="C9" s="236">
        <v>30956.1</v>
      </c>
      <c r="D9" s="236">
        <v>9350.9000000000015</v>
      </c>
      <c r="E9" s="236">
        <v>11962.600000000002</v>
      </c>
      <c r="F9" s="236">
        <v>11347.777</v>
      </c>
      <c r="G9" s="236">
        <v>40977.662999999993</v>
      </c>
      <c r="H9" s="236">
        <v>17816.8</v>
      </c>
      <c r="I9" s="236">
        <v>13294.8</v>
      </c>
      <c r="J9" s="236">
        <v>15280.5</v>
      </c>
      <c r="K9" s="235">
        <v>24661.259746945998</v>
      </c>
      <c r="L9" s="236">
        <v>48062.268000000018</v>
      </c>
      <c r="M9" s="236">
        <v>63061.674000000006</v>
      </c>
      <c r="N9" s="236">
        <v>11537.837860000001</v>
      </c>
      <c r="O9" s="236">
        <v>14383.300000000001</v>
      </c>
      <c r="P9" s="236">
        <v>323268.34975694603</v>
      </c>
      <c r="Q9" s="236">
        <v>3361.1665454200001</v>
      </c>
      <c r="R9" s="236">
        <v>326629.51630236604</v>
      </c>
      <c r="S9" s="58"/>
      <c r="T9" s="57"/>
      <c r="U9" s="57"/>
      <c r="V9" s="57"/>
    </row>
    <row r="10" spans="1:22" ht="20.149999999999999" customHeight="1">
      <c r="A10" s="179" t="s">
        <v>164</v>
      </c>
      <c r="B10" s="238">
        <v>8903.4186000000009</v>
      </c>
      <c r="C10" s="239">
        <v>25517.500000000004</v>
      </c>
      <c r="D10" s="239">
        <v>10779.900000000001</v>
      </c>
      <c r="E10" s="239">
        <v>10298.6</v>
      </c>
      <c r="F10" s="239">
        <v>9734.7180000000008</v>
      </c>
      <c r="G10" s="239">
        <v>37975.716</v>
      </c>
      <c r="H10" s="239">
        <v>15280.699999999999</v>
      </c>
      <c r="I10" s="239">
        <v>11403.400000000001</v>
      </c>
      <c r="J10" s="239">
        <v>13531.300000000001</v>
      </c>
      <c r="K10" s="238">
        <v>18281.656871921001</v>
      </c>
      <c r="L10" s="239">
        <v>40884.342000000004</v>
      </c>
      <c r="M10" s="239">
        <v>67951.432000000015</v>
      </c>
      <c r="N10" s="239">
        <v>10060.205399999999</v>
      </c>
      <c r="O10" s="239">
        <v>13708.800000000001</v>
      </c>
      <c r="P10" s="239">
        <v>294311.68887192098</v>
      </c>
      <c r="Q10" s="239">
        <v>-229.03351045300047</v>
      </c>
      <c r="R10" s="239">
        <v>294082.65536146797</v>
      </c>
      <c r="S10" s="58"/>
      <c r="T10" s="57"/>
      <c r="U10" s="57"/>
      <c r="V10" s="57"/>
    </row>
    <row r="11" spans="1:22" ht="20.149999999999999" customHeight="1">
      <c r="A11" s="176" t="s">
        <v>165</v>
      </c>
      <c r="B11" s="235">
        <v>7598.8212550000007</v>
      </c>
      <c r="C11" s="236">
        <v>24021.1</v>
      </c>
      <c r="D11" s="236">
        <v>8585</v>
      </c>
      <c r="E11" s="236">
        <v>9008.9</v>
      </c>
      <c r="F11" s="236">
        <v>8201.7969999999987</v>
      </c>
      <c r="G11" s="236">
        <v>35619.351000000002</v>
      </c>
      <c r="H11" s="236">
        <v>16251.999999999998</v>
      </c>
      <c r="I11" s="236">
        <v>11074.7</v>
      </c>
      <c r="J11" s="236">
        <v>11755.199999999999</v>
      </c>
      <c r="K11" s="235">
        <v>17583.288070180999</v>
      </c>
      <c r="L11" s="236">
        <v>38534.359999999993</v>
      </c>
      <c r="M11" s="236">
        <v>59851.88</v>
      </c>
      <c r="N11" s="236">
        <v>8564.1057440000004</v>
      </c>
      <c r="O11" s="236">
        <v>14178.700000000003</v>
      </c>
      <c r="P11" s="236">
        <v>270829.20306918101</v>
      </c>
      <c r="Q11" s="236">
        <v>-970.77815348400065</v>
      </c>
      <c r="R11" s="236">
        <v>269858.42491569702</v>
      </c>
      <c r="S11" s="58"/>
      <c r="T11" s="57"/>
      <c r="U11" s="57"/>
      <c r="V11" s="57"/>
    </row>
    <row r="12" spans="1:22" ht="20.149999999999999" customHeight="1">
      <c r="A12" s="176" t="s">
        <v>166</v>
      </c>
      <c r="B12" s="235">
        <v>8223.5567659999997</v>
      </c>
      <c r="C12" s="236">
        <v>23779.699999999997</v>
      </c>
      <c r="D12" s="236">
        <v>11556.000000000002</v>
      </c>
      <c r="E12" s="236">
        <v>9724.1000000000022</v>
      </c>
      <c r="F12" s="236">
        <v>8599.9699999999993</v>
      </c>
      <c r="G12" s="236">
        <v>29581.857999999993</v>
      </c>
      <c r="H12" s="236">
        <v>17654.7</v>
      </c>
      <c r="I12" s="236">
        <v>12591.7</v>
      </c>
      <c r="J12" s="236">
        <v>12579.7</v>
      </c>
      <c r="K12" s="235">
        <v>15707.200368465001</v>
      </c>
      <c r="L12" s="236">
        <v>42270.257999999987</v>
      </c>
      <c r="M12" s="236">
        <v>68126.52900000001</v>
      </c>
      <c r="N12" s="236">
        <v>9257.5822340000013</v>
      </c>
      <c r="O12" s="236">
        <v>11599.500000000002</v>
      </c>
      <c r="P12" s="236">
        <v>281252.35436846502</v>
      </c>
      <c r="Q12" s="236">
        <v>-1100.0774971400003</v>
      </c>
      <c r="R12" s="236">
        <v>280152.27687132504</v>
      </c>
      <c r="S12" s="58"/>
      <c r="T12" s="57"/>
      <c r="U12" s="57"/>
      <c r="V12" s="57"/>
    </row>
    <row r="13" spans="1:22" ht="20.149999999999999" customHeight="1">
      <c r="A13" s="179" t="s">
        <v>167</v>
      </c>
      <c r="B13" s="238">
        <v>11658.330810000001</v>
      </c>
      <c r="C13" s="239">
        <v>31744.599999999995</v>
      </c>
      <c r="D13" s="239">
        <v>14029.500000000002</v>
      </c>
      <c r="E13" s="239">
        <v>12375.800000000001</v>
      </c>
      <c r="F13" s="239">
        <v>10834.083000000001</v>
      </c>
      <c r="G13" s="239">
        <v>39752.357000000004</v>
      </c>
      <c r="H13" s="239">
        <v>18343.599999999999</v>
      </c>
      <c r="I13" s="239">
        <v>14446.000000000002</v>
      </c>
      <c r="J13" s="239">
        <v>15611.9</v>
      </c>
      <c r="K13" s="238">
        <v>23979.354822875004</v>
      </c>
      <c r="L13" s="239">
        <v>47541.168999999994</v>
      </c>
      <c r="M13" s="239">
        <v>70239.350999999981</v>
      </c>
      <c r="N13" s="239">
        <v>11944.813192000001</v>
      </c>
      <c r="O13" s="239">
        <v>14666.599999999999</v>
      </c>
      <c r="P13" s="239">
        <v>337167.45882487495</v>
      </c>
      <c r="Q13" s="239">
        <v>-623.0073867600006</v>
      </c>
      <c r="R13" s="239">
        <v>336544.45143811492</v>
      </c>
      <c r="S13" s="58"/>
      <c r="T13" s="57"/>
      <c r="U13" s="57"/>
      <c r="V13" s="57"/>
    </row>
    <row r="14" spans="1:22" ht="20.149999999999999" customHeight="1">
      <c r="A14" s="176" t="s">
        <v>168</v>
      </c>
      <c r="B14" s="235">
        <v>19175.386195999999</v>
      </c>
      <c r="C14" s="236">
        <v>71711.672999999995</v>
      </c>
      <c r="D14" s="236">
        <v>15962.800000000001</v>
      </c>
      <c r="E14" s="236">
        <v>22743.4</v>
      </c>
      <c r="F14" s="236">
        <v>20376.090999999997</v>
      </c>
      <c r="G14" s="236">
        <v>57276.86099999999</v>
      </c>
      <c r="H14" s="236">
        <v>31630.424999999999</v>
      </c>
      <c r="I14" s="236">
        <v>23146.399999999998</v>
      </c>
      <c r="J14" s="236">
        <v>25452.7</v>
      </c>
      <c r="K14" s="235">
        <v>52299.809034513994</v>
      </c>
      <c r="L14" s="236">
        <v>79825.016000000003</v>
      </c>
      <c r="M14" s="236">
        <v>82923.29399999998</v>
      </c>
      <c r="N14" s="236">
        <v>21783.163804</v>
      </c>
      <c r="O14" s="236">
        <v>25636.3</v>
      </c>
      <c r="P14" s="236">
        <v>549943.31903451402</v>
      </c>
      <c r="Q14" s="236">
        <v>5238.3985932439991</v>
      </c>
      <c r="R14" s="236">
        <v>555181.71762775804</v>
      </c>
      <c r="S14" s="58"/>
      <c r="T14" s="57"/>
      <c r="U14" s="57"/>
      <c r="V14" s="57"/>
    </row>
    <row r="15" spans="1:22" ht="20.149999999999999" customHeight="1">
      <c r="A15" s="176" t="s">
        <v>169</v>
      </c>
      <c r="B15" s="235">
        <v>28962.759729999998</v>
      </c>
      <c r="C15" s="236">
        <v>110818.81499999999</v>
      </c>
      <c r="D15" s="236">
        <v>26366.499999999996</v>
      </c>
      <c r="E15" s="236">
        <v>35364.6</v>
      </c>
      <c r="F15" s="236">
        <v>33310.584000000003</v>
      </c>
      <c r="G15" s="236">
        <v>85409.517999999996</v>
      </c>
      <c r="H15" s="236">
        <v>50740.6</v>
      </c>
      <c r="I15" s="236">
        <v>36116</v>
      </c>
      <c r="J15" s="236">
        <v>37556</v>
      </c>
      <c r="K15" s="235">
        <v>94080.247531101995</v>
      </c>
      <c r="L15" s="236">
        <v>109087.23699999998</v>
      </c>
      <c r="M15" s="236">
        <v>133789.06699999998</v>
      </c>
      <c r="N15" s="236">
        <v>33037.190268999999</v>
      </c>
      <c r="O15" s="236">
        <v>40823.100000000006</v>
      </c>
      <c r="P15" s="236">
        <v>855462.21853010193</v>
      </c>
      <c r="Q15" s="236">
        <v>10015.054617161999</v>
      </c>
      <c r="R15" s="236">
        <v>865477.27314726391</v>
      </c>
      <c r="S15" s="58"/>
      <c r="T15" s="57"/>
      <c r="U15" s="57"/>
      <c r="V15" s="57"/>
    </row>
    <row r="16" spans="1:22" ht="20.149999999999999" customHeight="1">
      <c r="A16" s="179" t="s">
        <v>170</v>
      </c>
      <c r="B16" s="238">
        <v>32075.418989999998</v>
      </c>
      <c r="C16" s="239">
        <v>130084.1</v>
      </c>
      <c r="D16" s="239">
        <v>28827.4</v>
      </c>
      <c r="E16" s="239">
        <v>39079.299999999996</v>
      </c>
      <c r="F16" s="239">
        <v>37718.741000000002</v>
      </c>
      <c r="G16" s="239">
        <v>97689.875</v>
      </c>
      <c r="H16" s="239">
        <v>58898.7</v>
      </c>
      <c r="I16" s="239">
        <v>40265.5</v>
      </c>
      <c r="J16" s="239">
        <v>42898.8</v>
      </c>
      <c r="K16" s="238">
        <v>111312.153827665</v>
      </c>
      <c r="L16" s="239">
        <v>116623.818</v>
      </c>
      <c r="M16" s="239">
        <v>108471.94699999999</v>
      </c>
      <c r="N16" s="239">
        <v>37963.094011000001</v>
      </c>
      <c r="O16" s="239">
        <v>48650.299999999996</v>
      </c>
      <c r="P16" s="239">
        <v>930559.14782866498</v>
      </c>
      <c r="Q16" s="239">
        <v>18684.499371839996</v>
      </c>
      <c r="R16" s="239">
        <v>949243.64720050502</v>
      </c>
      <c r="S16" s="58"/>
      <c r="T16" s="57"/>
      <c r="U16" s="57"/>
      <c r="V16" s="57"/>
    </row>
    <row r="17" spans="1:22" ht="20.149999999999999" customHeight="1">
      <c r="A17" s="176" t="s">
        <v>48</v>
      </c>
      <c r="B17" s="235">
        <f>SUM(B5:B7)</f>
        <v>82446.762719999999</v>
      </c>
      <c r="C17" s="235">
        <f>SUM(C5:C7)</f>
        <v>317306.09999999998</v>
      </c>
      <c r="D17" s="235">
        <f t="shared" ref="D17:J17" si="0">SUM(D5:D7)</f>
        <v>70398.700000000012</v>
      </c>
      <c r="E17" s="235">
        <f t="shared" si="0"/>
        <v>101629.8</v>
      </c>
      <c r="F17" s="235">
        <f t="shared" si="0"/>
        <v>99213.482999999993</v>
      </c>
      <c r="G17" s="235">
        <f t="shared" si="0"/>
        <v>257161.94900000002</v>
      </c>
      <c r="H17" s="235">
        <f t="shared" si="0"/>
        <v>143305.899</v>
      </c>
      <c r="I17" s="235">
        <f t="shared" si="0"/>
        <v>105380.79999999999</v>
      </c>
      <c r="J17" s="235">
        <f t="shared" si="0"/>
        <v>112208.3</v>
      </c>
      <c r="K17" s="235">
        <f>SUM(K5:K7)</f>
        <v>276454.03611820703</v>
      </c>
      <c r="L17" s="235">
        <f t="shared" ref="L17:R17" si="1">SUM(L5:L7)</f>
        <v>310468.44400000002</v>
      </c>
      <c r="M17" s="235">
        <f t="shared" si="1"/>
        <v>277962.66200000001</v>
      </c>
      <c r="N17" s="235">
        <f t="shared" si="1"/>
        <v>98065.877600000007</v>
      </c>
      <c r="O17" s="235">
        <f t="shared" si="1"/>
        <v>123538.9</v>
      </c>
      <c r="P17" s="235">
        <f t="shared" si="1"/>
        <v>2375541.7134382073</v>
      </c>
      <c r="Q17" s="235">
        <f t="shared" si="1"/>
        <v>39257.574818280358</v>
      </c>
      <c r="R17" s="235">
        <f t="shared" si="1"/>
        <v>2414799.2882564873</v>
      </c>
    </row>
    <row r="18" spans="1:22" ht="20.149999999999999" customHeight="1">
      <c r="A18" s="176" t="s">
        <v>56</v>
      </c>
      <c r="B18" s="235">
        <f>SUM(B8:B10)</f>
        <v>35638.488379999995</v>
      </c>
      <c r="C18" s="235">
        <f>SUM(C8:C10)</f>
        <v>110540.6</v>
      </c>
      <c r="D18" s="235">
        <f t="shared" ref="D18:J18" si="2">SUM(D8:D10)</f>
        <v>34684.400000000001</v>
      </c>
      <c r="E18" s="235">
        <f t="shared" si="2"/>
        <v>42059.3</v>
      </c>
      <c r="F18" s="235">
        <f t="shared" si="2"/>
        <v>39673.868999999999</v>
      </c>
      <c r="G18" s="235">
        <f t="shared" si="2"/>
        <v>135786.405</v>
      </c>
      <c r="H18" s="235">
        <f t="shared" si="2"/>
        <v>59993.830999999991</v>
      </c>
      <c r="I18" s="235">
        <f t="shared" si="2"/>
        <v>46097.1</v>
      </c>
      <c r="J18" s="235">
        <f t="shared" si="2"/>
        <v>52242.600000000006</v>
      </c>
      <c r="K18" s="235">
        <f>SUM(K8:K10)</f>
        <v>89315.990234030003</v>
      </c>
      <c r="L18" s="235">
        <f t="shared" ref="L18:R18" si="3">SUM(L8:L10)</f>
        <v>150052.31500000003</v>
      </c>
      <c r="M18" s="235">
        <f t="shared" si="3"/>
        <v>201960.58900000004</v>
      </c>
      <c r="N18" s="235">
        <f t="shared" si="3"/>
        <v>40517.371639999998</v>
      </c>
      <c r="O18" s="235">
        <f t="shared" si="3"/>
        <v>50478.700000000004</v>
      </c>
      <c r="P18" s="235">
        <f t="shared" si="3"/>
        <v>1089041.55925403</v>
      </c>
      <c r="Q18" s="235">
        <f t="shared" si="3"/>
        <v>6467.7072131069999</v>
      </c>
      <c r="R18" s="235">
        <f t="shared" si="3"/>
        <v>1095509.266467137</v>
      </c>
    </row>
    <row r="19" spans="1:22" ht="20.149999999999999" customHeight="1">
      <c r="A19" s="176" t="s">
        <v>63</v>
      </c>
      <c r="B19" s="235">
        <f>SUM(B11:B13)</f>
        <v>27480.708831000004</v>
      </c>
      <c r="C19" s="235">
        <f>SUM(C11:C13)</f>
        <v>79545.399999999994</v>
      </c>
      <c r="D19" s="235">
        <f t="shared" ref="D19:J19" si="4">SUM(D11:D13)</f>
        <v>34170.5</v>
      </c>
      <c r="E19" s="235">
        <f t="shared" si="4"/>
        <v>31108.800000000003</v>
      </c>
      <c r="F19" s="235">
        <f t="shared" si="4"/>
        <v>27635.85</v>
      </c>
      <c r="G19" s="235">
        <f t="shared" si="4"/>
        <v>104953.56599999999</v>
      </c>
      <c r="H19" s="235">
        <f t="shared" si="4"/>
        <v>52250.299999999996</v>
      </c>
      <c r="I19" s="235">
        <f t="shared" si="4"/>
        <v>38112.400000000001</v>
      </c>
      <c r="J19" s="235">
        <f t="shared" si="4"/>
        <v>39946.800000000003</v>
      </c>
      <c r="K19" s="235">
        <f>SUM(K11:K13)</f>
        <v>57269.843261521004</v>
      </c>
      <c r="L19" s="235">
        <f t="shared" ref="L19:R19" si="5">SUM(L11:L13)</f>
        <v>128345.78699999998</v>
      </c>
      <c r="M19" s="235">
        <f t="shared" si="5"/>
        <v>198217.76</v>
      </c>
      <c r="N19" s="235">
        <f t="shared" si="5"/>
        <v>29766.501170000003</v>
      </c>
      <c r="O19" s="235">
        <f t="shared" si="5"/>
        <v>40444.800000000003</v>
      </c>
      <c r="P19" s="235">
        <f t="shared" si="5"/>
        <v>889249.01626252092</v>
      </c>
      <c r="Q19" s="235">
        <f t="shared" si="5"/>
        <v>-2693.8630373840015</v>
      </c>
      <c r="R19" s="235">
        <f t="shared" si="5"/>
        <v>886555.15322513692</v>
      </c>
    </row>
    <row r="20" spans="1:22" ht="20.149999999999999" customHeight="1">
      <c r="A20" s="179" t="s">
        <v>57</v>
      </c>
      <c r="B20" s="238">
        <f>SUM(B14:B16)</f>
        <v>80213.564916000003</v>
      </c>
      <c r="C20" s="238">
        <f>SUM(C14:C16)</f>
        <v>312614.58799999999</v>
      </c>
      <c r="D20" s="238">
        <f t="shared" ref="D20:J20" si="6">SUM(D14:D16)</f>
        <v>71156.7</v>
      </c>
      <c r="E20" s="238">
        <f t="shared" si="6"/>
        <v>97187.299999999988</v>
      </c>
      <c r="F20" s="238">
        <f t="shared" si="6"/>
        <v>91405.415999999997</v>
      </c>
      <c r="G20" s="238">
        <f t="shared" si="6"/>
        <v>240376.25399999999</v>
      </c>
      <c r="H20" s="238">
        <f t="shared" si="6"/>
        <v>141269.72499999998</v>
      </c>
      <c r="I20" s="238">
        <f t="shared" si="6"/>
        <v>99527.9</v>
      </c>
      <c r="J20" s="238">
        <f t="shared" si="6"/>
        <v>105907.5</v>
      </c>
      <c r="K20" s="238">
        <f>SUM(K14:K16)</f>
        <v>257692.21039328098</v>
      </c>
      <c r="L20" s="238">
        <f t="shared" ref="L20:R20" si="7">SUM(L14:L16)</f>
        <v>305536.071</v>
      </c>
      <c r="M20" s="238">
        <f t="shared" si="7"/>
        <v>325184.30799999996</v>
      </c>
      <c r="N20" s="238">
        <f t="shared" si="7"/>
        <v>92783.448084000003</v>
      </c>
      <c r="O20" s="238">
        <f t="shared" si="7"/>
        <v>115109.70000000001</v>
      </c>
      <c r="P20" s="238">
        <f t="shared" si="7"/>
        <v>2335964.6853932808</v>
      </c>
      <c r="Q20" s="238">
        <f t="shared" si="7"/>
        <v>33937.952582245998</v>
      </c>
      <c r="R20" s="238">
        <f t="shared" si="7"/>
        <v>2369902.637975527</v>
      </c>
    </row>
    <row r="21" spans="1:22" ht="20.149999999999999" customHeight="1">
      <c r="A21" s="176" t="s">
        <v>58</v>
      </c>
      <c r="B21" s="235">
        <f>SUM(B5:B10)</f>
        <v>118085.25110000001</v>
      </c>
      <c r="C21" s="235">
        <f>SUM(C5:C10)</f>
        <v>427846.69999999995</v>
      </c>
      <c r="D21" s="235">
        <f t="shared" ref="D21:J21" si="8">SUM(D5:D10)</f>
        <v>105083.1</v>
      </c>
      <c r="E21" s="235">
        <f t="shared" si="8"/>
        <v>143689.1</v>
      </c>
      <c r="F21" s="235">
        <f t="shared" si="8"/>
        <v>138887.35199999998</v>
      </c>
      <c r="G21" s="235">
        <f t="shared" si="8"/>
        <v>392948.35400000005</v>
      </c>
      <c r="H21" s="235">
        <f t="shared" si="8"/>
        <v>203299.73</v>
      </c>
      <c r="I21" s="235">
        <f t="shared" si="8"/>
        <v>151477.89999999997</v>
      </c>
      <c r="J21" s="235">
        <f t="shared" si="8"/>
        <v>164450.9</v>
      </c>
      <c r="K21" s="235">
        <f>SUM(K5:K10)</f>
        <v>365770.02635223698</v>
      </c>
      <c r="L21" s="235">
        <f t="shared" ref="L21:R21" si="9">SUM(L5:L10)</f>
        <v>460520.75900000008</v>
      </c>
      <c r="M21" s="235">
        <f t="shared" si="9"/>
        <v>479923.25100000005</v>
      </c>
      <c r="N21" s="235">
        <f t="shared" si="9"/>
        <v>138583.24924</v>
      </c>
      <c r="O21" s="235">
        <f t="shared" si="9"/>
        <v>174017.59999999998</v>
      </c>
      <c r="P21" s="235">
        <f t="shared" si="9"/>
        <v>3464583.272692237</v>
      </c>
      <c r="Q21" s="235">
        <f t="shared" si="9"/>
        <v>45725.282031387353</v>
      </c>
      <c r="R21" s="235">
        <f t="shared" si="9"/>
        <v>3510308.5547236241</v>
      </c>
    </row>
    <row r="22" spans="1:22" ht="20.149999999999999" customHeight="1">
      <c r="A22" s="179" t="s">
        <v>59</v>
      </c>
      <c r="B22" s="238">
        <f>SUM(B11:B16)</f>
        <v>107694.273747</v>
      </c>
      <c r="C22" s="238">
        <f>SUM(C11:C16)</f>
        <v>392159.98800000001</v>
      </c>
      <c r="D22" s="238">
        <f t="shared" ref="D22:J22" si="10">SUM(D11:D16)</f>
        <v>105327.20000000001</v>
      </c>
      <c r="E22" s="238">
        <f t="shared" si="10"/>
        <v>128296.1</v>
      </c>
      <c r="F22" s="238">
        <f t="shared" si="10"/>
        <v>119041.266</v>
      </c>
      <c r="G22" s="238">
        <f t="shared" si="10"/>
        <v>345329.81999999995</v>
      </c>
      <c r="H22" s="238">
        <f t="shared" si="10"/>
        <v>193520.02499999997</v>
      </c>
      <c r="I22" s="238">
        <f t="shared" si="10"/>
        <v>137640.29999999999</v>
      </c>
      <c r="J22" s="238">
        <f t="shared" si="10"/>
        <v>145854.29999999999</v>
      </c>
      <c r="K22" s="238">
        <f>SUM(K11:K16)</f>
        <v>314962.05365480203</v>
      </c>
      <c r="L22" s="238">
        <f t="shared" ref="L22:R22" si="11">SUM(L11:L16)</f>
        <v>433881.85800000001</v>
      </c>
      <c r="M22" s="238">
        <f t="shared" si="11"/>
        <v>523402.06799999997</v>
      </c>
      <c r="N22" s="238">
        <f t="shared" si="11"/>
        <v>122549.94925400001</v>
      </c>
      <c r="O22" s="238">
        <f t="shared" si="11"/>
        <v>155554.5</v>
      </c>
      <c r="P22" s="238">
        <f t="shared" si="11"/>
        <v>3225213.7016558019</v>
      </c>
      <c r="Q22" s="238">
        <f t="shared" si="11"/>
        <v>31244.089544861992</v>
      </c>
      <c r="R22" s="238">
        <f t="shared" si="11"/>
        <v>3256457.7912006639</v>
      </c>
    </row>
    <row r="23" spans="1:22" ht="20.149999999999999" customHeight="1">
      <c r="A23" s="216" t="s">
        <v>171</v>
      </c>
      <c r="B23" s="402">
        <f>SUM(B5:B16)</f>
        <v>225779.52484700002</v>
      </c>
      <c r="C23" s="402">
        <f>SUM(C5:C16)</f>
        <v>820006.68799999985</v>
      </c>
      <c r="D23" s="402">
        <f t="shared" ref="D23:J23" si="12">SUM(D5:D16)</f>
        <v>210410.3</v>
      </c>
      <c r="E23" s="402">
        <f t="shared" si="12"/>
        <v>271985.2</v>
      </c>
      <c r="F23" s="402">
        <f t="shared" si="12"/>
        <v>257928.61799999999</v>
      </c>
      <c r="G23" s="402">
        <f t="shared" si="12"/>
        <v>738278.17400000012</v>
      </c>
      <c r="H23" s="402">
        <f t="shared" si="12"/>
        <v>396819.755</v>
      </c>
      <c r="I23" s="402">
        <f t="shared" si="12"/>
        <v>289118.19999999995</v>
      </c>
      <c r="J23" s="402">
        <f t="shared" si="12"/>
        <v>310305.2</v>
      </c>
      <c r="K23" s="402">
        <f>SUM(K5:K16)</f>
        <v>680732.08000703901</v>
      </c>
      <c r="L23" s="402">
        <f t="shared" ref="L23:R23" si="13">SUM(L5:L16)</f>
        <v>894402.61700000009</v>
      </c>
      <c r="M23" s="402">
        <f t="shared" si="13"/>
        <v>1003325.3189999999</v>
      </c>
      <c r="N23" s="402">
        <f t="shared" si="13"/>
        <v>261133.19849400001</v>
      </c>
      <c r="O23" s="402">
        <f t="shared" si="13"/>
        <v>329572.09999999998</v>
      </c>
      <c r="P23" s="402">
        <f t="shared" si="13"/>
        <v>6689796.9743480384</v>
      </c>
      <c r="Q23" s="402">
        <f t="shared" si="13"/>
        <v>76969.371576249338</v>
      </c>
      <c r="R23" s="402">
        <f t="shared" si="13"/>
        <v>6766766.345924288</v>
      </c>
    </row>
    <row r="25" spans="1:22" ht="12" customHeight="1">
      <c r="A25" s="60"/>
      <c r="B25" s="60"/>
      <c r="C25" s="60"/>
      <c r="H25" s="60"/>
      <c r="I25" s="60"/>
      <c r="J25" s="60"/>
      <c r="K25" s="60"/>
      <c r="O25" s="60"/>
      <c r="P25" s="60"/>
      <c r="Q25" s="60"/>
      <c r="R25" s="60"/>
    </row>
    <row r="26" spans="1:22" ht="12" customHeight="1">
      <c r="E26" s="63"/>
      <c r="F26" s="63"/>
      <c r="G26" s="63"/>
      <c r="H26" s="63"/>
      <c r="L26" s="63"/>
      <c r="M26" s="63"/>
      <c r="N26" s="63"/>
    </row>
    <row r="27" spans="1:22" ht="12" customHeight="1">
      <c r="E27" s="63"/>
      <c r="F27" s="63"/>
      <c r="G27" s="63"/>
      <c r="L27" s="63"/>
      <c r="M27" s="63"/>
      <c r="N27" s="63"/>
    </row>
    <row r="28" spans="1:22" ht="12" customHeight="1">
      <c r="E28" s="63"/>
      <c r="F28" s="63"/>
      <c r="G28" s="63"/>
      <c r="L28" s="63"/>
      <c r="M28" s="63"/>
      <c r="N28" s="63"/>
    </row>
    <row r="29" spans="1:22" ht="35.15" customHeight="1">
      <c r="A29" s="437" t="s">
        <v>193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N29" s="437"/>
      <c r="O29" s="437"/>
      <c r="P29" s="437"/>
      <c r="Q29" s="437"/>
      <c r="R29" s="437"/>
    </row>
    <row r="30" spans="1:22" ht="85" customHeight="1">
      <c r="A30" s="218">
        <f>A4</f>
        <v>2024</v>
      </c>
      <c r="B30" s="370" t="s">
        <v>67</v>
      </c>
      <c r="C30" s="370" t="s">
        <v>68</v>
      </c>
      <c r="D30" s="370" t="s">
        <v>69</v>
      </c>
      <c r="E30" s="370" t="s">
        <v>90</v>
      </c>
      <c r="F30" s="370" t="s">
        <v>70</v>
      </c>
      <c r="G30" s="370" t="s">
        <v>71</v>
      </c>
      <c r="H30" s="370" t="s">
        <v>72</v>
      </c>
      <c r="I30" s="370" t="s">
        <v>73</v>
      </c>
      <c r="J30" s="370" t="s">
        <v>74</v>
      </c>
      <c r="K30" s="370" t="s">
        <v>75</v>
      </c>
      <c r="L30" s="370" t="s">
        <v>76</v>
      </c>
      <c r="M30" s="370" t="s">
        <v>77</v>
      </c>
      <c r="N30" s="370" t="s">
        <v>78</v>
      </c>
      <c r="O30" s="370" t="s">
        <v>79</v>
      </c>
      <c r="P30" s="370" t="s">
        <v>80</v>
      </c>
      <c r="Q30" s="370" t="s">
        <v>94</v>
      </c>
      <c r="R30" s="370" t="s">
        <v>81</v>
      </c>
    </row>
    <row r="31" spans="1:22" ht="20.149999999999999" customHeight="1">
      <c r="A31" s="176" t="s">
        <v>159</v>
      </c>
      <c r="B31" s="235">
        <v>388181.77879999997</v>
      </c>
      <c r="C31" s="235">
        <v>1557281.35445</v>
      </c>
      <c r="D31" s="236">
        <v>296509.99501000001</v>
      </c>
      <c r="E31" s="236">
        <v>492093.33069999999</v>
      </c>
      <c r="F31" s="236">
        <v>474398.70804</v>
      </c>
      <c r="G31" s="236">
        <v>1188570.5760600001</v>
      </c>
      <c r="H31" s="236">
        <v>702631.13861000014</v>
      </c>
      <c r="I31" s="236">
        <v>501184.45275</v>
      </c>
      <c r="J31" s="236">
        <v>520572.39757000003</v>
      </c>
      <c r="K31" s="235">
        <v>1364882.2313489451</v>
      </c>
      <c r="L31" s="235">
        <v>1443955.0810669998</v>
      </c>
      <c r="M31" s="236">
        <v>1348789.4549129999</v>
      </c>
      <c r="N31" s="236">
        <v>466419.06572999997</v>
      </c>
      <c r="O31" s="236">
        <v>590799.55590999988</v>
      </c>
      <c r="P31" s="236">
        <v>11336269.120958945</v>
      </c>
      <c r="Q31" s="236">
        <v>126466.58553266802</v>
      </c>
      <c r="R31" s="236">
        <v>11462735.706491612</v>
      </c>
      <c r="S31" s="56"/>
      <c r="T31" s="57"/>
      <c r="U31" s="57"/>
      <c r="V31" s="57"/>
    </row>
    <row r="32" spans="1:22" ht="20.149999999999999" customHeight="1">
      <c r="A32" s="176" t="s">
        <v>160</v>
      </c>
      <c r="B32" s="235">
        <v>267414.60471000004</v>
      </c>
      <c r="C32" s="236">
        <v>1004665.28059</v>
      </c>
      <c r="D32" s="236">
        <v>241230.82232000001</v>
      </c>
      <c r="E32" s="236">
        <v>325839.24401999998</v>
      </c>
      <c r="F32" s="236">
        <v>323427.92209000001</v>
      </c>
      <c r="G32" s="236">
        <v>825035.10092999996</v>
      </c>
      <c r="H32" s="236">
        <v>452560.23119999998</v>
      </c>
      <c r="I32" s="236">
        <v>338247.23313999997</v>
      </c>
      <c r="J32" s="236">
        <v>366438.86361</v>
      </c>
      <c r="K32" s="235">
        <v>881073.52814804204</v>
      </c>
      <c r="L32" s="236">
        <v>1004644.307627</v>
      </c>
      <c r="M32" s="236">
        <v>798716.32555900002</v>
      </c>
      <c r="N32" s="236">
        <v>314868.21127000003</v>
      </c>
      <c r="O32" s="236">
        <v>399015.79629999999</v>
      </c>
      <c r="P32" s="236">
        <v>7543177.4715140415</v>
      </c>
      <c r="Q32" s="236">
        <v>167952.62044207702</v>
      </c>
      <c r="R32" s="236">
        <v>7711130.0919561181</v>
      </c>
      <c r="S32" s="58"/>
      <c r="T32" s="57"/>
      <c r="U32" s="57"/>
      <c r="V32" s="57"/>
    </row>
    <row r="33" spans="1:22" ht="20.149999999999999" customHeight="1">
      <c r="A33" s="179" t="s">
        <v>161</v>
      </c>
      <c r="B33" s="238">
        <v>242627.97526000001</v>
      </c>
      <c r="C33" s="239">
        <v>892581.53393999976</v>
      </c>
      <c r="D33" s="239">
        <v>228608.55879000004</v>
      </c>
      <c r="E33" s="239">
        <v>288507.89970000001</v>
      </c>
      <c r="F33" s="239">
        <v>282290.85813999997</v>
      </c>
      <c r="G33" s="239">
        <v>785297.65408999997</v>
      </c>
      <c r="H33" s="239">
        <v>404946.7372899999</v>
      </c>
      <c r="I33" s="239">
        <v>307825.95036000008</v>
      </c>
      <c r="J33" s="239">
        <v>334555.80345999997</v>
      </c>
      <c r="K33" s="238">
        <v>769051.58851394395</v>
      </c>
      <c r="L33" s="239">
        <v>931554.07286400034</v>
      </c>
      <c r="M33" s="239">
        <v>881810.78083200008</v>
      </c>
      <c r="N33" s="239">
        <v>286430.28234000009</v>
      </c>
      <c r="O33" s="239">
        <v>355137.47454000002</v>
      </c>
      <c r="P33" s="239">
        <v>6991227.170119945</v>
      </c>
      <c r="Q33" s="239">
        <v>133889.76201417102</v>
      </c>
      <c r="R33" s="239">
        <v>7125116.9321341161</v>
      </c>
      <c r="S33" s="59"/>
      <c r="T33" s="57"/>
      <c r="U33" s="57"/>
      <c r="V33" s="57"/>
    </row>
    <row r="34" spans="1:22" ht="20.149999999999999" customHeight="1">
      <c r="A34" s="176" t="s">
        <v>162</v>
      </c>
      <c r="B34" s="235">
        <v>175923.77611000001</v>
      </c>
      <c r="C34" s="236">
        <v>589023.17865999998</v>
      </c>
      <c r="D34" s="236">
        <v>158551.11116999999</v>
      </c>
      <c r="E34" s="236">
        <v>215686.72924999997</v>
      </c>
      <c r="F34" s="236">
        <v>202537.04290999999</v>
      </c>
      <c r="G34" s="236">
        <v>618961.96808000002</v>
      </c>
      <c r="H34" s="236">
        <v>293016.12735999998</v>
      </c>
      <c r="I34" s="236">
        <v>233127.77945</v>
      </c>
      <c r="J34" s="236">
        <v>255262.85664999997</v>
      </c>
      <c r="K34" s="235">
        <v>504458.09677297401</v>
      </c>
      <c r="L34" s="236">
        <v>665699.11204899999</v>
      </c>
      <c r="M34" s="236">
        <v>773283.96532499988</v>
      </c>
      <c r="N34" s="236">
        <v>206176.34496000002</v>
      </c>
      <c r="O34" s="236">
        <v>243886.27064</v>
      </c>
      <c r="P34" s="236">
        <v>5135594.359386974</v>
      </c>
      <c r="Q34" s="236">
        <v>36443.256510075</v>
      </c>
      <c r="R34" s="236">
        <v>5172037.6158970492</v>
      </c>
      <c r="S34" s="58"/>
      <c r="T34" s="57"/>
      <c r="U34" s="57"/>
      <c r="V34" s="57"/>
    </row>
    <row r="35" spans="1:22" ht="20.149999999999999" customHeight="1">
      <c r="A35" s="176" t="s">
        <v>163</v>
      </c>
      <c r="B35" s="235">
        <v>115579.34041000002</v>
      </c>
      <c r="C35" s="236">
        <v>338817.67371</v>
      </c>
      <c r="D35" s="236">
        <v>102348.09255999999</v>
      </c>
      <c r="E35" s="236">
        <v>130932.93343999999</v>
      </c>
      <c r="F35" s="236">
        <v>124198.52398000001</v>
      </c>
      <c r="G35" s="236">
        <v>448282.97171000007</v>
      </c>
      <c r="H35" s="236">
        <v>195008.05003000001</v>
      </c>
      <c r="I35" s="236">
        <v>145513.1912</v>
      </c>
      <c r="J35" s="236">
        <v>167246.04380000001</v>
      </c>
      <c r="K35" s="235">
        <v>270039.46374701604</v>
      </c>
      <c r="L35" s="236">
        <v>526034.54161199997</v>
      </c>
      <c r="M35" s="236">
        <v>690474.26588099997</v>
      </c>
      <c r="N35" s="236">
        <v>126260.01795999998</v>
      </c>
      <c r="O35" s="236">
        <v>157427.82252000002</v>
      </c>
      <c r="P35" s="236">
        <v>3538162.9325600164</v>
      </c>
      <c r="Q35" s="236">
        <v>36911.552890651146</v>
      </c>
      <c r="R35" s="236">
        <v>3575074.4854506673</v>
      </c>
      <c r="S35" s="58"/>
      <c r="T35" s="57"/>
      <c r="U35" s="57"/>
      <c r="V35" s="57"/>
    </row>
    <row r="36" spans="1:22" ht="20.149999999999999" customHeight="1">
      <c r="A36" s="179" t="s">
        <v>164</v>
      </c>
      <c r="B36" s="238">
        <v>97609.508822000003</v>
      </c>
      <c r="C36" s="239">
        <v>278653.18883999996</v>
      </c>
      <c r="D36" s="239">
        <v>117716.05108999999</v>
      </c>
      <c r="E36" s="239">
        <v>112461.45318000001</v>
      </c>
      <c r="F36" s="239">
        <v>106300.43285000001</v>
      </c>
      <c r="G36" s="239">
        <v>414521.80277999997</v>
      </c>
      <c r="H36" s="239">
        <v>166866.87232999998</v>
      </c>
      <c r="I36" s="239">
        <v>124525.20430999999</v>
      </c>
      <c r="J36" s="239">
        <v>147762.26012999998</v>
      </c>
      <c r="K36" s="238">
        <v>200462.43665300202</v>
      </c>
      <c r="L36" s="239">
        <v>446463.47848599992</v>
      </c>
      <c r="M36" s="239">
        <v>740507.56254099996</v>
      </c>
      <c r="N36" s="239">
        <v>109911.18530500001</v>
      </c>
      <c r="O36" s="239">
        <v>149700.86997</v>
      </c>
      <c r="P36" s="239">
        <v>3213462.3072870015</v>
      </c>
      <c r="Q36" s="239">
        <v>-2427.1923951619892</v>
      </c>
      <c r="R36" s="239">
        <v>3211035.1148918397</v>
      </c>
      <c r="S36" s="58"/>
      <c r="T36" s="57"/>
      <c r="U36" s="57"/>
      <c r="V36" s="57"/>
    </row>
    <row r="37" spans="1:22" ht="20.149999999999999" customHeight="1">
      <c r="A37" s="176" t="s">
        <v>165</v>
      </c>
      <c r="B37" s="235">
        <v>82893.478373000005</v>
      </c>
      <c r="C37" s="236">
        <v>262261.87150000001</v>
      </c>
      <c r="D37" s="236">
        <v>93730.976799999989</v>
      </c>
      <c r="E37" s="236">
        <v>98359.701379999999</v>
      </c>
      <c r="F37" s="236">
        <v>89542.531340000001</v>
      </c>
      <c r="G37" s="236">
        <v>388736.09869000001</v>
      </c>
      <c r="H37" s="236">
        <v>177437.08003999997</v>
      </c>
      <c r="I37" s="236">
        <v>120912.36728000001</v>
      </c>
      <c r="J37" s="236">
        <v>128341.87766</v>
      </c>
      <c r="K37" s="235">
        <v>191862.35212000401</v>
      </c>
      <c r="L37" s="236">
        <v>420700.83665699995</v>
      </c>
      <c r="M37" s="236">
        <v>653049.05340300011</v>
      </c>
      <c r="N37" s="236">
        <v>93493.306754999998</v>
      </c>
      <c r="O37" s="236">
        <v>154801.56338000001</v>
      </c>
      <c r="P37" s="236">
        <v>2956123.095378004</v>
      </c>
      <c r="Q37" s="236">
        <v>-10482.413337266988</v>
      </c>
      <c r="R37" s="236">
        <v>2945640.682040737</v>
      </c>
      <c r="S37" s="58"/>
      <c r="T37" s="57"/>
      <c r="U37" s="57"/>
      <c r="V37" s="57"/>
    </row>
    <row r="38" spans="1:22" ht="20.149999999999999" customHeight="1">
      <c r="A38" s="176" t="s">
        <v>166</v>
      </c>
      <c r="B38" s="235">
        <v>89756.474466</v>
      </c>
      <c r="C38" s="236">
        <v>259825.73467999999</v>
      </c>
      <c r="D38" s="236">
        <v>126265.16279000002</v>
      </c>
      <c r="E38" s="236">
        <v>106248.02376000003</v>
      </c>
      <c r="F38" s="236">
        <v>93961.748120000004</v>
      </c>
      <c r="G38" s="236">
        <v>323061.60008</v>
      </c>
      <c r="H38" s="236">
        <v>192899.98524000001</v>
      </c>
      <c r="I38" s="236">
        <v>137580.96505999999</v>
      </c>
      <c r="J38" s="236">
        <v>137450.16028000001</v>
      </c>
      <c r="K38" s="235">
        <v>171586.98288000701</v>
      </c>
      <c r="L38" s="236">
        <v>461864.729551</v>
      </c>
      <c r="M38" s="236">
        <v>744779.79370899987</v>
      </c>
      <c r="N38" s="236">
        <v>101139.11234600001</v>
      </c>
      <c r="O38" s="236">
        <v>126739.84831</v>
      </c>
      <c r="P38" s="236">
        <v>3073160.3212720067</v>
      </c>
      <c r="Q38" s="236">
        <v>-11870.041343999992</v>
      </c>
      <c r="R38" s="236">
        <v>3061290.2799280067</v>
      </c>
      <c r="S38" s="58"/>
      <c r="T38" s="57"/>
      <c r="U38" s="57"/>
      <c r="V38" s="57"/>
    </row>
    <row r="39" spans="1:22" ht="20.149999999999999" customHeight="1">
      <c r="A39" s="179" t="s">
        <v>167</v>
      </c>
      <c r="B39" s="238">
        <v>127550.47499199997</v>
      </c>
      <c r="C39" s="239">
        <v>347458.42731000006</v>
      </c>
      <c r="D39" s="239">
        <v>153559.49476</v>
      </c>
      <c r="E39" s="239">
        <v>135459.45921</v>
      </c>
      <c r="F39" s="239">
        <v>118579.83981999999</v>
      </c>
      <c r="G39" s="239">
        <v>434913.81013999996</v>
      </c>
      <c r="H39" s="239">
        <v>200780.54545999999</v>
      </c>
      <c r="I39" s="239">
        <v>158118.81031</v>
      </c>
      <c r="J39" s="239">
        <v>170878.83382</v>
      </c>
      <c r="K39" s="238">
        <v>262125.21689300999</v>
      </c>
      <c r="L39" s="239">
        <v>520366.60226200009</v>
      </c>
      <c r="M39" s="239">
        <v>768827.72063799994</v>
      </c>
      <c r="N39" s="239">
        <v>130734.21459600001</v>
      </c>
      <c r="O39" s="239">
        <v>160533.64448999998</v>
      </c>
      <c r="P39" s="239">
        <v>3689887.0947010098</v>
      </c>
      <c r="Q39" s="239">
        <v>-6650.5752549999925</v>
      </c>
      <c r="R39" s="239">
        <v>3683236.5194460098</v>
      </c>
      <c r="S39" s="58"/>
      <c r="T39" s="57"/>
      <c r="U39" s="57"/>
      <c r="V39" s="57"/>
    </row>
    <row r="40" spans="1:22" ht="20.149999999999999" customHeight="1">
      <c r="A40" s="176" t="s">
        <v>168</v>
      </c>
      <c r="B40" s="235">
        <v>210192.98866099998</v>
      </c>
      <c r="C40" s="236">
        <v>785221.19422999991</v>
      </c>
      <c r="D40" s="236">
        <v>174799.9241</v>
      </c>
      <c r="E40" s="236">
        <v>249051.68495000002</v>
      </c>
      <c r="F40" s="236">
        <v>223123.33414999998</v>
      </c>
      <c r="G40" s="236">
        <v>626936.07996999996</v>
      </c>
      <c r="H40" s="236">
        <v>346368.74312</v>
      </c>
      <c r="I40" s="236">
        <v>253464.75915</v>
      </c>
      <c r="J40" s="236">
        <v>278718.60972000001</v>
      </c>
      <c r="K40" s="235">
        <v>572690.59832392307</v>
      </c>
      <c r="L40" s="236">
        <v>874126.00783699995</v>
      </c>
      <c r="M40" s="236">
        <v>908072.07476300013</v>
      </c>
      <c r="N40" s="236">
        <v>238566.04039200002</v>
      </c>
      <c r="O40" s="236">
        <v>280730.82770000002</v>
      </c>
      <c r="P40" s="236">
        <v>6022062.8670669235</v>
      </c>
      <c r="Q40" s="236">
        <v>57530.277567369005</v>
      </c>
      <c r="R40" s="236">
        <v>6079593.1446342925</v>
      </c>
      <c r="S40" s="58"/>
      <c r="T40" s="57"/>
      <c r="U40" s="57"/>
      <c r="V40" s="57"/>
    </row>
    <row r="41" spans="1:22" ht="20.149999999999999" customHeight="1">
      <c r="A41" s="176" t="s">
        <v>169</v>
      </c>
      <c r="B41" s="235">
        <v>315913.47386600001</v>
      </c>
      <c r="C41" s="236">
        <v>1209548.1981200001</v>
      </c>
      <c r="D41" s="236">
        <v>287791.39126999996</v>
      </c>
      <c r="E41" s="236">
        <v>386005.96612</v>
      </c>
      <c r="F41" s="236">
        <v>363579.79622000002</v>
      </c>
      <c r="G41" s="236">
        <v>931847.07067000004</v>
      </c>
      <c r="H41" s="236">
        <v>553836.00378999999</v>
      </c>
      <c r="I41" s="236">
        <v>394207.99216999992</v>
      </c>
      <c r="J41" s="236">
        <v>409925.38584999996</v>
      </c>
      <c r="K41" s="235">
        <v>1027355.211855026</v>
      </c>
      <c r="L41" s="236">
        <v>1190683.587813</v>
      </c>
      <c r="M41" s="236">
        <v>1460458.5859010003</v>
      </c>
      <c r="N41" s="236">
        <v>360572.90745200001</v>
      </c>
      <c r="O41" s="236">
        <v>445585.49093999999</v>
      </c>
      <c r="P41" s="236">
        <v>9337311.0620370284</v>
      </c>
      <c r="Q41" s="236">
        <v>109509.82473800001</v>
      </c>
      <c r="R41" s="236">
        <v>9446820.886775028</v>
      </c>
      <c r="S41" s="58"/>
      <c r="T41" s="57"/>
      <c r="U41" s="57"/>
      <c r="V41" s="57"/>
    </row>
    <row r="42" spans="1:22" ht="20.149999999999999" customHeight="1">
      <c r="A42" s="179" t="s">
        <v>170</v>
      </c>
      <c r="B42" s="238">
        <v>349013.35366600007</v>
      </c>
      <c r="C42" s="239">
        <v>1416163.9508399998</v>
      </c>
      <c r="D42" s="239">
        <v>313830.27464999998</v>
      </c>
      <c r="E42" s="239">
        <v>425437.22959999996</v>
      </c>
      <c r="F42" s="239">
        <v>410620.32564999996</v>
      </c>
      <c r="G42" s="239">
        <v>1063172.44542</v>
      </c>
      <c r="H42" s="239">
        <v>641201.75692999992</v>
      </c>
      <c r="I42" s="239">
        <v>438351.14323999995</v>
      </c>
      <c r="J42" s="239">
        <v>467018.23431000003</v>
      </c>
      <c r="K42" s="238">
        <v>1212320.2077539151</v>
      </c>
      <c r="L42" s="239">
        <v>1269634.340197</v>
      </c>
      <c r="M42" s="239">
        <v>1181198.708623</v>
      </c>
      <c r="N42" s="239">
        <v>413262.71919799998</v>
      </c>
      <c r="O42" s="239">
        <v>529632.26331999991</v>
      </c>
      <c r="P42" s="239">
        <v>10130856.953397915</v>
      </c>
      <c r="Q42" s="239">
        <v>204911.88010099999</v>
      </c>
      <c r="R42" s="239">
        <v>10335768.833498916</v>
      </c>
      <c r="S42" s="58"/>
      <c r="T42" s="57"/>
      <c r="U42" s="57"/>
      <c r="V42" s="57"/>
    </row>
    <row r="43" spans="1:22" ht="20.149999999999999" customHeight="1">
      <c r="A43" s="176" t="s">
        <v>48</v>
      </c>
      <c r="B43" s="235">
        <f>SUM(B31:B33)</f>
        <v>898224.35877000005</v>
      </c>
      <c r="C43" s="235">
        <f>SUM(C31:C33)</f>
        <v>3454528.1689799996</v>
      </c>
      <c r="D43" s="235">
        <f t="shared" ref="D43:J43" si="14">SUM(D31:D33)</f>
        <v>766349.37612000003</v>
      </c>
      <c r="E43" s="235">
        <f t="shared" si="14"/>
        <v>1106440.4744199999</v>
      </c>
      <c r="F43" s="235">
        <f t="shared" si="14"/>
        <v>1080117.4882699999</v>
      </c>
      <c r="G43" s="235">
        <f t="shared" si="14"/>
        <v>2798903.3310799999</v>
      </c>
      <c r="H43" s="235">
        <f t="shared" si="14"/>
        <v>1560138.1070999999</v>
      </c>
      <c r="I43" s="235">
        <f t="shared" si="14"/>
        <v>1147257.63625</v>
      </c>
      <c r="J43" s="235">
        <f t="shared" si="14"/>
        <v>1221567.06464</v>
      </c>
      <c r="K43" s="235">
        <f>SUM(K31:K33)</f>
        <v>3015007.3480109307</v>
      </c>
      <c r="L43" s="235">
        <f t="shared" ref="L43:Q43" si="15">SUM(L31:L33)</f>
        <v>3380153.4615580002</v>
      </c>
      <c r="M43" s="235">
        <f t="shared" si="15"/>
        <v>3029316.5613040002</v>
      </c>
      <c r="N43" s="235">
        <f t="shared" si="15"/>
        <v>1067717.5593400002</v>
      </c>
      <c r="O43" s="235">
        <f t="shared" si="15"/>
        <v>1344952.82675</v>
      </c>
      <c r="P43" s="235">
        <f t="shared" si="15"/>
        <v>25870673.76259293</v>
      </c>
      <c r="Q43" s="235">
        <f t="shared" si="15"/>
        <v>428308.96798891609</v>
      </c>
      <c r="R43" s="235">
        <f>SUM(R31:R33)</f>
        <v>26298982.730581842</v>
      </c>
    </row>
    <row r="44" spans="1:22" ht="20.149999999999999" customHeight="1">
      <c r="A44" s="176" t="s">
        <v>56</v>
      </c>
      <c r="B44" s="235">
        <f>SUM(B34:B36)</f>
        <v>389112.62534200004</v>
      </c>
      <c r="C44" s="235">
        <f>SUM(C34:C36)</f>
        <v>1206494.0412099999</v>
      </c>
      <c r="D44" s="235">
        <f t="shared" ref="D44:J44" si="16">SUM(D34:D36)</f>
        <v>378615.25481999997</v>
      </c>
      <c r="E44" s="235">
        <f t="shared" si="16"/>
        <v>459081.11586999998</v>
      </c>
      <c r="F44" s="235">
        <f t="shared" si="16"/>
        <v>433035.99974</v>
      </c>
      <c r="G44" s="235">
        <f t="shared" si="16"/>
        <v>1481766.7425700002</v>
      </c>
      <c r="H44" s="235">
        <f t="shared" si="16"/>
        <v>654891.04972000001</v>
      </c>
      <c r="I44" s="235">
        <f t="shared" si="16"/>
        <v>503166.17496000003</v>
      </c>
      <c r="J44" s="235">
        <f t="shared" si="16"/>
        <v>570271.16057999991</v>
      </c>
      <c r="K44" s="235">
        <f>SUM(K34:K36)</f>
        <v>974959.99717299209</v>
      </c>
      <c r="L44" s="235">
        <f t="shared" ref="L44:Q44" si="17">SUM(L34:L36)</f>
        <v>1638197.1321469999</v>
      </c>
      <c r="M44" s="235">
        <f t="shared" si="17"/>
        <v>2204265.7937469999</v>
      </c>
      <c r="N44" s="235">
        <f t="shared" si="17"/>
        <v>442347.54822499998</v>
      </c>
      <c r="O44" s="235">
        <f t="shared" si="17"/>
        <v>551014.96313000005</v>
      </c>
      <c r="P44" s="235">
        <f t="shared" si="17"/>
        <v>11887219.599233992</v>
      </c>
      <c r="Q44" s="235">
        <f t="shared" si="17"/>
        <v>70927.617005564156</v>
      </c>
      <c r="R44" s="235">
        <f>SUM(R34:R36)</f>
        <v>11958147.216239557</v>
      </c>
    </row>
    <row r="45" spans="1:22" ht="20.149999999999999" customHeight="1">
      <c r="A45" s="176" t="s">
        <v>63</v>
      </c>
      <c r="B45" s="235">
        <f>SUM(B37:B39)</f>
        <v>300200.42783099995</v>
      </c>
      <c r="C45" s="235">
        <f>SUM(C37:C39)</f>
        <v>869546.03349000006</v>
      </c>
      <c r="D45" s="235">
        <f t="shared" ref="D45:J45" si="18">SUM(D37:D39)</f>
        <v>373555.63435000001</v>
      </c>
      <c r="E45" s="235">
        <f t="shared" si="18"/>
        <v>340067.18435</v>
      </c>
      <c r="F45" s="235">
        <f t="shared" si="18"/>
        <v>302084.11927999998</v>
      </c>
      <c r="G45" s="235">
        <f t="shared" si="18"/>
        <v>1146711.5089099999</v>
      </c>
      <c r="H45" s="235">
        <f t="shared" si="18"/>
        <v>571117.61073999992</v>
      </c>
      <c r="I45" s="235">
        <f t="shared" si="18"/>
        <v>416612.14264999999</v>
      </c>
      <c r="J45" s="235">
        <f t="shared" si="18"/>
        <v>436670.87176000001</v>
      </c>
      <c r="K45" s="235">
        <f>SUM(K37:K39)</f>
        <v>625574.55189302098</v>
      </c>
      <c r="L45" s="235">
        <f t="shared" ref="L45:R45" si="19">SUM(L37:L39)</f>
        <v>1402932.1684699999</v>
      </c>
      <c r="M45" s="235">
        <f t="shared" si="19"/>
        <v>2166656.5677499999</v>
      </c>
      <c r="N45" s="235">
        <f t="shared" si="19"/>
        <v>325366.63369699998</v>
      </c>
      <c r="O45" s="235">
        <f t="shared" si="19"/>
        <v>442075.05617999996</v>
      </c>
      <c r="P45" s="235">
        <f t="shared" si="19"/>
        <v>9719170.5113510191</v>
      </c>
      <c r="Q45" s="235">
        <f t="shared" si="19"/>
        <v>-29003.029936266972</v>
      </c>
      <c r="R45" s="235">
        <f t="shared" si="19"/>
        <v>9690167.4814147539</v>
      </c>
    </row>
    <row r="46" spans="1:22" ht="20.149999999999999" customHeight="1">
      <c r="A46" s="179" t="s">
        <v>57</v>
      </c>
      <c r="B46" s="238">
        <f>SUM(B40:B42)</f>
        <v>875119.81619300006</v>
      </c>
      <c r="C46" s="238">
        <f>SUM(C40:C42)</f>
        <v>3410933.3431899995</v>
      </c>
      <c r="D46" s="238">
        <f t="shared" ref="D46:J46" si="20">SUM(D40:D42)</f>
        <v>776421.59002</v>
      </c>
      <c r="E46" s="238">
        <f t="shared" si="20"/>
        <v>1060494.8806699999</v>
      </c>
      <c r="F46" s="238">
        <f t="shared" si="20"/>
        <v>997323.45601999993</v>
      </c>
      <c r="G46" s="238">
        <f t="shared" si="20"/>
        <v>2621955.5960600004</v>
      </c>
      <c r="H46" s="238">
        <f t="shared" si="20"/>
        <v>1541406.5038399999</v>
      </c>
      <c r="I46" s="238">
        <f t="shared" si="20"/>
        <v>1086023.8945599999</v>
      </c>
      <c r="J46" s="238">
        <f t="shared" si="20"/>
        <v>1155662.22988</v>
      </c>
      <c r="K46" s="238">
        <f>SUM(K40:K42)</f>
        <v>2812366.0179328639</v>
      </c>
      <c r="L46" s="238">
        <f t="shared" ref="L46:R46" si="21">SUM(L40:L42)</f>
        <v>3334443.9358470002</v>
      </c>
      <c r="M46" s="238">
        <f t="shared" si="21"/>
        <v>3549729.3692870005</v>
      </c>
      <c r="N46" s="238">
        <f t="shared" si="21"/>
        <v>1012401.667042</v>
      </c>
      <c r="O46" s="238">
        <f t="shared" si="21"/>
        <v>1255948.5819599999</v>
      </c>
      <c r="P46" s="238">
        <f t="shared" si="21"/>
        <v>25490230.882501867</v>
      </c>
      <c r="Q46" s="238">
        <f t="shared" si="21"/>
        <v>371951.982406369</v>
      </c>
      <c r="R46" s="238">
        <f t="shared" si="21"/>
        <v>25862182.864908233</v>
      </c>
    </row>
    <row r="47" spans="1:22" ht="20.149999999999999" customHeight="1">
      <c r="A47" s="176" t="s">
        <v>58</v>
      </c>
      <c r="B47" s="235">
        <f>SUM(B31:B36)</f>
        <v>1287336.9841120001</v>
      </c>
      <c r="C47" s="235">
        <f>SUM(C31:C36)</f>
        <v>4661022.2101899991</v>
      </c>
      <c r="D47" s="235">
        <f t="shared" ref="D47:J47" si="22">SUM(D31:D36)</f>
        <v>1144964.6309400001</v>
      </c>
      <c r="E47" s="235">
        <f t="shared" si="22"/>
        <v>1565521.5902899997</v>
      </c>
      <c r="F47" s="235">
        <f t="shared" si="22"/>
        <v>1513153.48801</v>
      </c>
      <c r="G47" s="235">
        <f t="shared" si="22"/>
        <v>4280670.0736499997</v>
      </c>
      <c r="H47" s="235">
        <f t="shared" si="22"/>
        <v>2215029.1568200001</v>
      </c>
      <c r="I47" s="235">
        <f t="shared" si="22"/>
        <v>1650423.81121</v>
      </c>
      <c r="J47" s="235">
        <f t="shared" si="22"/>
        <v>1791838.2252200001</v>
      </c>
      <c r="K47" s="235">
        <f>SUM(K31:K36)</f>
        <v>3989967.3451839229</v>
      </c>
      <c r="L47" s="235">
        <f t="shared" ref="L47:R47" si="23">SUM(L31:L36)</f>
        <v>5018350.5937049994</v>
      </c>
      <c r="M47" s="235">
        <f t="shared" si="23"/>
        <v>5233582.3550509997</v>
      </c>
      <c r="N47" s="235">
        <f t="shared" si="23"/>
        <v>1510065.1075650002</v>
      </c>
      <c r="O47" s="235">
        <f t="shared" si="23"/>
        <v>1895967.7898800001</v>
      </c>
      <c r="P47" s="235">
        <f t="shared" si="23"/>
        <v>37757893.361826919</v>
      </c>
      <c r="Q47" s="235">
        <f t="shared" si="23"/>
        <v>499236.58499448025</v>
      </c>
      <c r="R47" s="235">
        <f t="shared" si="23"/>
        <v>38257129.946821399</v>
      </c>
    </row>
    <row r="48" spans="1:22" ht="20.149999999999999" customHeight="1">
      <c r="A48" s="179" t="s">
        <v>59</v>
      </c>
      <c r="B48" s="238">
        <f>SUM(B37:B42)</f>
        <v>1175320.2440240001</v>
      </c>
      <c r="C48" s="238">
        <f>SUM(C37:C42)</f>
        <v>4280479.3766799998</v>
      </c>
      <c r="D48" s="238">
        <f t="shared" ref="D48:J48" si="24">SUM(D37:D42)</f>
        <v>1149977.22437</v>
      </c>
      <c r="E48" s="238">
        <f t="shared" si="24"/>
        <v>1400562.0650200001</v>
      </c>
      <c r="F48" s="238">
        <f t="shared" si="24"/>
        <v>1299407.5752999999</v>
      </c>
      <c r="G48" s="238">
        <f t="shared" si="24"/>
        <v>3768667.1049699998</v>
      </c>
      <c r="H48" s="238">
        <f t="shared" si="24"/>
        <v>2112524.1145799998</v>
      </c>
      <c r="I48" s="238">
        <f t="shared" si="24"/>
        <v>1502636.0372099997</v>
      </c>
      <c r="J48" s="238">
        <f t="shared" si="24"/>
        <v>1592333.10164</v>
      </c>
      <c r="K48" s="238">
        <f>SUM(K37:K42)</f>
        <v>3437940.5698258849</v>
      </c>
      <c r="L48" s="238">
        <f t="shared" ref="L48:R48" si="25">SUM(L37:L42)</f>
        <v>4737376.1043169992</v>
      </c>
      <c r="M48" s="238">
        <f t="shared" si="25"/>
        <v>5716385.9370370004</v>
      </c>
      <c r="N48" s="238">
        <f t="shared" si="25"/>
        <v>1337768.3007389999</v>
      </c>
      <c r="O48" s="238">
        <f t="shared" si="25"/>
        <v>1698023.6381399999</v>
      </c>
      <c r="P48" s="238">
        <f t="shared" si="25"/>
        <v>35209401.39385289</v>
      </c>
      <c r="Q48" s="238">
        <f t="shared" si="25"/>
        <v>342948.952470102</v>
      </c>
      <c r="R48" s="238">
        <f t="shared" si="25"/>
        <v>35552350.346322991</v>
      </c>
    </row>
    <row r="49" spans="1:18" ht="20.149999999999999" customHeight="1">
      <c r="A49" s="179" t="s">
        <v>171</v>
      </c>
      <c r="B49" s="238">
        <f>SUM(B31:B42)</f>
        <v>2462657.2281360002</v>
      </c>
      <c r="C49" s="238">
        <f>SUM(C31:C42)</f>
        <v>8941501.5868699979</v>
      </c>
      <c r="D49" s="238">
        <f t="shared" ref="D49:J49" si="26">SUM(D31:D42)</f>
        <v>2294941.85531</v>
      </c>
      <c r="E49" s="238">
        <f t="shared" si="26"/>
        <v>2966083.6553099994</v>
      </c>
      <c r="F49" s="238">
        <f t="shared" si="26"/>
        <v>2812561.0633099996</v>
      </c>
      <c r="G49" s="238">
        <f t="shared" si="26"/>
        <v>8049337.1786200004</v>
      </c>
      <c r="H49" s="238">
        <f t="shared" si="26"/>
        <v>4327553.2714</v>
      </c>
      <c r="I49" s="238">
        <f t="shared" si="26"/>
        <v>3153059.8484200002</v>
      </c>
      <c r="J49" s="238">
        <f t="shared" si="26"/>
        <v>3384171.3268600004</v>
      </c>
      <c r="K49" s="238">
        <f>SUM(K31:K42)</f>
        <v>7427907.9150098078</v>
      </c>
      <c r="L49" s="238">
        <f t="shared" ref="L49:R49" si="27">SUM(L31:L42)</f>
        <v>9755726.6980220005</v>
      </c>
      <c r="M49" s="238">
        <f t="shared" si="27"/>
        <v>10949968.292087998</v>
      </c>
      <c r="N49" s="238">
        <f t="shared" si="27"/>
        <v>2847833.4083040003</v>
      </c>
      <c r="O49" s="238">
        <f t="shared" si="27"/>
        <v>3593991.4280199995</v>
      </c>
      <c r="P49" s="238">
        <f t="shared" si="27"/>
        <v>72967294.755679816</v>
      </c>
      <c r="Q49" s="238">
        <f t="shared" si="27"/>
        <v>842185.53746458236</v>
      </c>
      <c r="R49" s="238">
        <f t="shared" si="27"/>
        <v>73809480.293144375</v>
      </c>
    </row>
    <row r="50" spans="1:18" ht="12" customHeight="1">
      <c r="E50" s="63"/>
      <c r="F50" s="63"/>
      <c r="G50" s="63"/>
      <c r="L50" s="63"/>
      <c r="M50" s="63"/>
      <c r="N50" s="63"/>
    </row>
    <row r="51" spans="1:18" ht="12" customHeight="1">
      <c r="E51" s="63"/>
      <c r="F51" s="63"/>
      <c r="G51" s="63"/>
      <c r="L51" s="63"/>
      <c r="M51" s="63"/>
      <c r="N51" s="63"/>
    </row>
    <row r="52" spans="1:18" ht="12" customHeight="1">
      <c r="E52" s="63"/>
      <c r="F52" s="63"/>
      <c r="G52" s="63"/>
      <c r="L52" s="63"/>
      <c r="M52" s="63"/>
      <c r="N52" s="63"/>
    </row>
    <row r="53" spans="1:18" ht="12" customHeight="1">
      <c r="E53" s="63"/>
      <c r="F53" s="63"/>
      <c r="G53" s="63"/>
      <c r="L53" s="63"/>
      <c r="M53" s="63"/>
      <c r="N53" s="63"/>
    </row>
    <row r="54" spans="1:18" ht="12" customHeight="1"/>
    <row r="55" spans="1:18" ht="12" customHeight="1"/>
    <row r="56" spans="1:18" ht="12" customHeight="1"/>
    <row r="57" spans="1:18" ht="12" customHeight="1"/>
    <row r="58" spans="1:18" ht="12" customHeight="1"/>
  </sheetData>
  <mergeCells count="4">
    <mergeCell ref="A29:R29"/>
    <mergeCell ref="A1:R1"/>
    <mergeCell ref="A2:I2"/>
    <mergeCell ref="A3:R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18:R18 B44:Q44" formulaRange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6"/>
  <dimension ref="A1:U29"/>
  <sheetViews>
    <sheetView showGridLines="0" zoomScaleNormal="100" zoomScaleSheetLayoutView="100" workbookViewId="0">
      <selection activeCell="D1" sqref="D1"/>
    </sheetView>
  </sheetViews>
  <sheetFormatPr defaultColWidth="9.1796875" defaultRowHeight="12.5"/>
  <cols>
    <col min="1" max="1" width="6.453125" style="107" customWidth="1"/>
    <col min="2" max="6" width="4.7265625" style="107" customWidth="1"/>
    <col min="7" max="9" width="4.81640625" style="107" customWidth="1"/>
    <col min="10" max="14" width="4.7265625" style="107" customWidth="1"/>
    <col min="15" max="15" width="3.7265625" style="107" customWidth="1"/>
    <col min="16" max="19" width="4.7265625" style="107" customWidth="1"/>
    <col min="20" max="20" width="3.7265625" style="107" customWidth="1"/>
    <col min="21" max="21" width="5" style="107" customWidth="1"/>
    <col min="22" max="16384" width="9.1796875" style="107"/>
  </cols>
  <sheetData>
    <row r="1" spans="1:20" ht="20">
      <c r="A1" s="117" t="s">
        <v>287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</row>
    <row r="2" spans="1:20" ht="15" customHeight="1">
      <c r="E2" s="108"/>
      <c r="F2" s="108"/>
    </row>
    <row r="3" spans="1:20" ht="15" customHeight="1">
      <c r="A3" s="524" t="s">
        <v>187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</row>
    <row r="4" spans="1:20" ht="15" customHeight="1">
      <c r="A4" s="72"/>
      <c r="C4" s="109"/>
      <c r="D4" s="109"/>
      <c r="E4" s="109"/>
      <c r="F4" s="109"/>
      <c r="G4" s="109"/>
      <c r="H4" s="61"/>
      <c r="I4" s="61"/>
    </row>
    <row r="5" spans="1:20" ht="15" customHeight="1">
      <c r="A5" s="72"/>
      <c r="C5" s="109"/>
      <c r="D5" s="109"/>
      <c r="E5" s="109"/>
      <c r="F5" s="109"/>
      <c r="G5" s="109"/>
      <c r="H5" s="61"/>
      <c r="I5" s="61"/>
    </row>
    <row r="6" spans="1:20" ht="15" customHeight="1">
      <c r="A6" s="72"/>
      <c r="B6" s="110"/>
      <c r="C6" s="110"/>
      <c r="D6" s="109"/>
      <c r="E6" s="109"/>
      <c r="F6" s="109"/>
      <c r="G6" s="110"/>
      <c r="H6" s="12"/>
      <c r="I6" s="61"/>
    </row>
    <row r="7" spans="1:20" ht="15" customHeight="1">
      <c r="A7" s="72"/>
      <c r="B7" s="110"/>
      <c r="C7" s="110"/>
      <c r="D7" s="109"/>
      <c r="E7" s="109"/>
      <c r="F7" s="109"/>
      <c r="G7" s="110"/>
      <c r="H7" s="12"/>
      <c r="I7" s="61"/>
    </row>
    <row r="8" spans="1:20" ht="15" customHeight="1">
      <c r="A8" s="72"/>
      <c r="B8" s="110"/>
      <c r="C8" s="110"/>
      <c r="D8" s="109"/>
      <c r="E8" s="109"/>
      <c r="F8" s="109"/>
      <c r="G8" s="110"/>
      <c r="H8" s="12"/>
      <c r="I8" s="61"/>
    </row>
    <row r="9" spans="1:20" ht="15" customHeight="1">
      <c r="A9" s="72"/>
      <c r="B9" s="109"/>
      <c r="C9" s="109"/>
      <c r="D9" s="109"/>
      <c r="E9" s="109"/>
      <c r="F9" s="109"/>
      <c r="G9" s="110"/>
      <c r="H9" s="12"/>
      <c r="I9" s="61"/>
    </row>
    <row r="10" spans="1:20" ht="15" customHeight="1">
      <c r="A10" s="72"/>
      <c r="B10" s="109"/>
      <c r="C10" s="109"/>
      <c r="D10" s="109"/>
      <c r="E10" s="109"/>
      <c r="F10" s="109"/>
      <c r="G10" s="109"/>
      <c r="H10" s="61"/>
      <c r="I10" s="61"/>
    </row>
    <row r="11" spans="1:20" ht="15" customHeight="1">
      <c r="A11" s="72"/>
      <c r="B11" s="109"/>
      <c r="C11" s="109"/>
      <c r="D11" s="109"/>
      <c r="E11" s="109"/>
      <c r="F11" s="109"/>
      <c r="G11" s="109"/>
      <c r="H11" s="61"/>
      <c r="I11" s="61"/>
    </row>
    <row r="12" spans="1:20" ht="15" customHeight="1">
      <c r="A12" s="72"/>
      <c r="B12" s="109"/>
      <c r="C12" s="109"/>
      <c r="D12" s="109"/>
      <c r="E12" s="109"/>
      <c r="F12" s="109"/>
      <c r="G12" s="109"/>
      <c r="H12" s="61"/>
      <c r="I12" s="61"/>
    </row>
    <row r="13" spans="1:20" ht="15" customHeight="1">
      <c r="A13" s="72"/>
      <c r="B13" s="109"/>
      <c r="C13" s="109"/>
      <c r="D13" s="109"/>
      <c r="E13" s="109"/>
      <c r="F13" s="109"/>
      <c r="G13" s="109"/>
      <c r="H13" s="61"/>
      <c r="I13" s="61"/>
    </row>
    <row r="14" spans="1:20" ht="15" customHeight="1">
      <c r="A14" s="72"/>
      <c r="B14" s="109"/>
      <c r="C14" s="109"/>
      <c r="D14" s="109"/>
      <c r="E14" s="109"/>
      <c r="F14" s="109"/>
      <c r="G14" s="109"/>
      <c r="H14" s="111"/>
      <c r="I14" s="111"/>
    </row>
    <row r="15" spans="1:20" ht="15" customHeight="1">
      <c r="A15" s="112"/>
      <c r="B15" s="112"/>
      <c r="C15" s="112"/>
      <c r="D15" s="112"/>
      <c r="E15" s="112"/>
      <c r="F15" s="112"/>
      <c r="G15" s="113"/>
      <c r="H15" s="114"/>
      <c r="I15" s="114"/>
    </row>
    <row r="16" spans="1:20" ht="15" customHeight="1">
      <c r="A16" s="112"/>
      <c r="B16" s="112"/>
      <c r="C16" s="112"/>
      <c r="D16" s="112"/>
      <c r="E16" s="112"/>
      <c r="F16" s="112"/>
    </row>
    <row r="17" spans="1:21" ht="15" customHeight="1">
      <c r="A17" s="112"/>
      <c r="B17" s="112"/>
      <c r="C17" s="112"/>
      <c r="D17" s="112"/>
      <c r="E17" s="112"/>
      <c r="F17" s="112"/>
    </row>
    <row r="18" spans="1:21" ht="15" customHeight="1">
      <c r="A18" s="112"/>
      <c r="B18" s="112"/>
      <c r="C18" s="112"/>
      <c r="D18" s="112"/>
      <c r="E18" s="112"/>
      <c r="F18" s="112"/>
    </row>
    <row r="19" spans="1:21" ht="15" customHeight="1">
      <c r="A19" s="112"/>
      <c r="B19" s="112"/>
      <c r="C19" s="112"/>
      <c r="D19" s="112"/>
      <c r="E19" s="112"/>
      <c r="F19" s="112"/>
    </row>
    <row r="20" spans="1:21" ht="15" customHeight="1">
      <c r="A20" s="112"/>
      <c r="B20" s="112"/>
      <c r="C20" s="112"/>
      <c r="D20" s="112"/>
      <c r="E20" s="112"/>
      <c r="F20" s="112"/>
    </row>
    <row r="21" spans="1:21" ht="13" customHeight="1">
      <c r="B21" s="115"/>
      <c r="C21" s="115"/>
      <c r="D21" s="115"/>
      <c r="E21" s="112"/>
      <c r="F21" s="113"/>
      <c r="G21" s="113"/>
      <c r="H21" s="113"/>
    </row>
    <row r="22" spans="1:21" ht="13" customHeight="1">
      <c r="B22" s="115"/>
      <c r="C22" s="115"/>
      <c r="D22" s="115"/>
      <c r="G22" s="525"/>
      <c r="H22" s="525"/>
      <c r="I22" s="525"/>
      <c r="K22" s="525"/>
      <c r="L22" s="525"/>
      <c r="M22" s="525"/>
      <c r="N22" s="525"/>
      <c r="P22" s="525"/>
      <c r="Q22" s="525"/>
      <c r="R22" s="525"/>
      <c r="S22" s="525"/>
      <c r="T22" s="525"/>
      <c r="U22" s="525"/>
    </row>
    <row r="23" spans="1:21" ht="13" customHeight="1">
      <c r="B23" s="115"/>
      <c r="C23" s="115"/>
      <c r="D23" s="115"/>
      <c r="G23" s="525"/>
      <c r="H23" s="525"/>
      <c r="I23" s="525"/>
      <c r="K23" s="526"/>
      <c r="L23" s="526"/>
      <c r="M23" s="526"/>
      <c r="N23" s="526"/>
      <c r="P23" s="525"/>
      <c r="Q23" s="525"/>
      <c r="R23" s="525"/>
      <c r="S23" s="525"/>
      <c r="T23" s="525"/>
      <c r="U23" s="525"/>
    </row>
    <row r="24" spans="1:21" ht="13" customHeight="1">
      <c r="B24" s="115"/>
      <c r="C24" s="115"/>
      <c r="D24" s="115"/>
      <c r="G24" s="525"/>
      <c r="H24" s="525"/>
      <c r="I24" s="525"/>
      <c r="K24" s="526"/>
      <c r="L24" s="526"/>
      <c r="M24" s="526"/>
      <c r="N24" s="526"/>
      <c r="P24" s="526"/>
      <c r="Q24" s="526"/>
      <c r="R24" s="526"/>
      <c r="S24" s="526"/>
      <c r="T24" s="526"/>
      <c r="U24" s="526"/>
    </row>
    <row r="25" spans="1:21" ht="12" customHeight="1">
      <c r="A25" s="112"/>
      <c r="B25" s="112"/>
      <c r="C25" s="112"/>
      <c r="D25" s="112"/>
      <c r="E25" s="112"/>
      <c r="F25" s="112"/>
      <c r="H25" s="116"/>
      <c r="I25" s="116"/>
      <c r="P25" s="526"/>
      <c r="Q25" s="526"/>
      <c r="R25" s="526"/>
      <c r="S25" s="526"/>
      <c r="T25" s="526"/>
      <c r="U25" s="526"/>
    </row>
    <row r="26" spans="1:21" ht="15" customHeight="1"/>
    <row r="27" spans="1:21" ht="15" customHeight="1"/>
    <row r="28" spans="1:21" ht="15" customHeight="1"/>
    <row r="29" spans="1:21" ht="15" customHeight="1"/>
  </sheetData>
  <mergeCells count="9">
    <mergeCell ref="A3:T3"/>
    <mergeCell ref="G22:I22"/>
    <mergeCell ref="K22:N22"/>
    <mergeCell ref="P22:U22"/>
    <mergeCell ref="G23:I23"/>
    <mergeCell ref="K23:N24"/>
    <mergeCell ref="P23:U23"/>
    <mergeCell ref="G24:I24"/>
    <mergeCell ref="P24:U2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CD3B-C327-4840-8DA5-C5AE8410C6E1}">
  <dimension ref="A25:F50"/>
  <sheetViews>
    <sheetView showGridLines="0" topLeftCell="A16" zoomScaleNormal="100" workbookViewId="0">
      <selection activeCell="D1" sqref="D1"/>
    </sheetView>
  </sheetViews>
  <sheetFormatPr defaultColWidth="9.1796875" defaultRowHeight="12.5"/>
  <cols>
    <col min="1" max="1" width="9.1796875" style="380"/>
    <col min="2" max="2" width="11.26953125" style="380" bestFit="1" customWidth="1"/>
    <col min="3" max="16384" width="9.1796875" style="380"/>
  </cols>
  <sheetData>
    <row r="25" spans="6:6">
      <c r="F25" s="379"/>
    </row>
    <row r="26" spans="6:6">
      <c r="F26" s="379"/>
    </row>
    <row r="27" spans="6:6">
      <c r="F27" s="379"/>
    </row>
    <row r="28" spans="6:6">
      <c r="F28" s="379"/>
    </row>
    <row r="47" spans="1:3" ht="14">
      <c r="A47" s="381" t="s">
        <v>308</v>
      </c>
    </row>
    <row r="48" spans="1:3" ht="14">
      <c r="A48" s="382" t="s">
        <v>314</v>
      </c>
      <c r="B48" s="383"/>
      <c r="C48" s="383"/>
    </row>
    <row r="50" spans="1:2" ht="14">
      <c r="A50" s="384" t="s">
        <v>310</v>
      </c>
      <c r="B50" s="385">
        <f ca="1">TODAY()</f>
        <v>45688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B42"/>
  <sheetViews>
    <sheetView showGridLines="0" topLeftCell="A22" zoomScaleNormal="100" zoomScaleSheetLayoutView="100" workbookViewId="0">
      <selection activeCell="D1" sqref="D1"/>
    </sheetView>
  </sheetViews>
  <sheetFormatPr defaultColWidth="9.1796875" defaultRowHeight="14"/>
  <cols>
    <col min="1" max="1" width="20.26953125" style="1" customWidth="1"/>
    <col min="2" max="2" width="79" style="24" customWidth="1"/>
    <col min="3" max="3" width="6.54296875" style="22" customWidth="1"/>
    <col min="4" max="4" width="11.7265625" style="22" customWidth="1"/>
    <col min="5" max="6" width="9.1796875" style="22"/>
    <col min="7" max="7" width="11.7265625" style="22" customWidth="1"/>
    <col min="8" max="16384" width="9.1796875" style="22"/>
  </cols>
  <sheetData>
    <row r="1" spans="1:2" ht="20">
      <c r="A1" s="54" t="s">
        <v>282</v>
      </c>
      <c r="B1" s="21"/>
    </row>
    <row r="2" spans="1:2" ht="6" customHeight="1">
      <c r="B2" s="21"/>
    </row>
    <row r="3" spans="1:2" ht="40" customHeight="1">
      <c r="A3" s="13" t="s">
        <v>236</v>
      </c>
      <c r="B3" s="14" t="s">
        <v>311</v>
      </c>
    </row>
    <row r="4" spans="1:2" ht="25" customHeight="1">
      <c r="A4" s="15" t="s">
        <v>92</v>
      </c>
      <c r="B4" s="16" t="s">
        <v>97</v>
      </c>
    </row>
    <row r="5" spans="1:2" ht="25" customHeight="1">
      <c r="A5" s="15" t="s">
        <v>98</v>
      </c>
      <c r="B5" s="17" t="s">
        <v>99</v>
      </c>
    </row>
    <row r="6" spans="1:2" ht="25" customHeight="1">
      <c r="A6" s="15" t="s">
        <v>7</v>
      </c>
      <c r="B6" s="16" t="s">
        <v>100</v>
      </c>
    </row>
    <row r="7" spans="1:2" ht="25" customHeight="1">
      <c r="A7" s="15" t="s">
        <v>101</v>
      </c>
      <c r="B7" s="16" t="s">
        <v>102</v>
      </c>
    </row>
    <row r="8" spans="1:2" ht="25" customHeight="1">
      <c r="A8" s="15" t="s">
        <v>103</v>
      </c>
      <c r="B8" s="16" t="s">
        <v>104</v>
      </c>
    </row>
    <row r="9" spans="1:2" ht="25" customHeight="1">
      <c r="A9" s="15" t="s">
        <v>207</v>
      </c>
      <c r="B9" s="16" t="s">
        <v>206</v>
      </c>
    </row>
    <row r="10" spans="1:2" ht="25" customHeight="1">
      <c r="A10" s="15" t="s">
        <v>86</v>
      </c>
      <c r="B10" s="18" t="s">
        <v>201</v>
      </c>
    </row>
    <row r="11" spans="1:2" ht="25" customHeight="1">
      <c r="A11" s="15" t="s">
        <v>313</v>
      </c>
      <c r="B11" s="16" t="s">
        <v>319</v>
      </c>
    </row>
    <row r="12" spans="1:2" ht="25" customHeight="1">
      <c r="A12" s="15" t="s">
        <v>105</v>
      </c>
      <c r="B12" s="16" t="s">
        <v>106</v>
      </c>
    </row>
    <row r="13" spans="1:2" ht="25" customHeight="1">
      <c r="A13" s="15" t="s">
        <v>107</v>
      </c>
      <c r="B13" s="16" t="s">
        <v>108</v>
      </c>
    </row>
    <row r="14" spans="1:2" ht="25" customHeight="1">
      <c r="A14" s="15" t="s">
        <v>109</v>
      </c>
      <c r="B14" s="16" t="s">
        <v>110</v>
      </c>
    </row>
    <row r="15" spans="1:2" ht="25" customHeight="1">
      <c r="A15" s="15" t="s">
        <v>209</v>
      </c>
      <c r="B15" s="16" t="s">
        <v>210</v>
      </c>
    </row>
    <row r="16" spans="1:2" ht="25" customHeight="1">
      <c r="A16" s="15" t="s">
        <v>317</v>
      </c>
      <c r="B16" s="16" t="s">
        <v>318</v>
      </c>
    </row>
    <row r="17" spans="1:2" ht="25" customHeight="1">
      <c r="A17" s="15" t="s">
        <v>6</v>
      </c>
      <c r="B17" s="16" t="s">
        <v>111</v>
      </c>
    </row>
    <row r="18" spans="1:2" ht="25" customHeight="1">
      <c r="A18" s="15" t="s">
        <v>112</v>
      </c>
      <c r="B18" s="16" t="s">
        <v>202</v>
      </c>
    </row>
    <row r="19" spans="1:2" ht="25" customHeight="1">
      <c r="A19" s="15" t="s">
        <v>113</v>
      </c>
      <c r="B19" s="19" t="s">
        <v>114</v>
      </c>
    </row>
    <row r="20" spans="1:2" ht="25" customHeight="1">
      <c r="A20" s="13" t="s">
        <v>115</v>
      </c>
      <c r="B20" s="19" t="s">
        <v>116</v>
      </c>
    </row>
    <row r="21" spans="1:2" ht="40" customHeight="1">
      <c r="A21" s="15" t="s">
        <v>117</v>
      </c>
      <c r="B21" s="19" t="s">
        <v>118</v>
      </c>
    </row>
    <row r="22" spans="1:2" ht="25" customHeight="1">
      <c r="A22" s="15" t="s">
        <v>32</v>
      </c>
      <c r="B22" s="20" t="s">
        <v>119</v>
      </c>
    </row>
    <row r="23" spans="1:2" ht="25" customHeight="1">
      <c r="A23" s="15" t="s">
        <v>120</v>
      </c>
      <c r="B23" s="19" t="s">
        <v>121</v>
      </c>
    </row>
    <row r="24" spans="1:2" ht="25" customHeight="1">
      <c r="A24" s="15" t="s">
        <v>122</v>
      </c>
      <c r="B24" s="16" t="s">
        <v>123</v>
      </c>
    </row>
    <row r="25" spans="1:2" ht="25" customHeight="1">
      <c r="A25" s="15" t="s">
        <v>150</v>
      </c>
      <c r="B25" s="16" t="s">
        <v>151</v>
      </c>
    </row>
    <row r="26" spans="1:2" ht="25" customHeight="1">
      <c r="A26" s="15" t="s">
        <v>124</v>
      </c>
      <c r="B26" s="16" t="s">
        <v>125</v>
      </c>
    </row>
    <row r="27" spans="1:2" ht="40" customHeight="1">
      <c r="A27" s="15" t="s">
        <v>20</v>
      </c>
      <c r="B27" s="16" t="s">
        <v>203</v>
      </c>
    </row>
    <row r="28" spans="1:2" ht="25" customHeight="1">
      <c r="A28" s="15" t="s">
        <v>126</v>
      </c>
      <c r="B28" s="16" t="s">
        <v>127</v>
      </c>
    </row>
    <row r="29" spans="1:2" ht="25" customHeight="1">
      <c r="A29" s="15" t="s">
        <v>128</v>
      </c>
      <c r="B29" s="16" t="s">
        <v>129</v>
      </c>
    </row>
    <row r="30" spans="1:2" ht="25" customHeight="1">
      <c r="A30" s="15" t="s">
        <v>130</v>
      </c>
      <c r="B30" s="16" t="s">
        <v>131</v>
      </c>
    </row>
    <row r="31" spans="1:2" ht="40" customHeight="1">
      <c r="A31" s="15" t="s">
        <v>132</v>
      </c>
      <c r="B31" s="19" t="s">
        <v>148</v>
      </c>
    </row>
    <row r="32" spans="1:2" ht="25" customHeight="1">
      <c r="A32" s="15" t="s">
        <v>133</v>
      </c>
      <c r="B32" s="16" t="s">
        <v>134</v>
      </c>
    </row>
    <row r="33" spans="1:2" ht="25" customHeight="1">
      <c r="A33" s="15" t="s">
        <v>135</v>
      </c>
      <c r="B33" s="16" t="s">
        <v>136</v>
      </c>
    </row>
    <row r="34" spans="1:2" ht="25" customHeight="1">
      <c r="A34" s="15" t="s">
        <v>137</v>
      </c>
      <c r="B34" s="19" t="s">
        <v>138</v>
      </c>
    </row>
    <row r="35" spans="1:2" ht="25" customHeight="1">
      <c r="A35" s="15" t="s">
        <v>5</v>
      </c>
      <c r="B35" s="16" t="s">
        <v>139</v>
      </c>
    </row>
    <row r="36" spans="1:2" ht="25" customHeight="1">
      <c r="A36" s="15" t="s">
        <v>4</v>
      </c>
      <c r="B36" s="16" t="s">
        <v>140</v>
      </c>
    </row>
    <row r="37" spans="1:2" ht="25" customHeight="1">
      <c r="A37" s="15" t="s">
        <v>141</v>
      </c>
      <c r="B37" s="16" t="s">
        <v>142</v>
      </c>
    </row>
    <row r="38" spans="1:2" ht="25" customHeight="1">
      <c r="A38" s="15" t="s">
        <v>31</v>
      </c>
      <c r="B38" s="16" t="s">
        <v>143</v>
      </c>
    </row>
    <row r="39" spans="1:2" ht="25" customHeight="1">
      <c r="A39" s="15" t="s">
        <v>144</v>
      </c>
      <c r="B39" s="19" t="s">
        <v>145</v>
      </c>
    </row>
    <row r="40" spans="1:2" ht="25" customHeight="1">
      <c r="A40" s="15" t="s">
        <v>146</v>
      </c>
      <c r="B40" s="16" t="s">
        <v>147</v>
      </c>
    </row>
    <row r="41" spans="1:2" ht="25" customHeight="1">
      <c r="A41" s="23"/>
      <c r="B41" s="19"/>
    </row>
    <row r="42" spans="1:2" ht="25" customHeight="1">
      <c r="A42" s="23"/>
      <c r="B42" s="16"/>
    </row>
  </sheetData>
  <sortState ref="A4:B40">
    <sortCondition ref="A3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FA9F4-9809-412C-812A-5ED8778E106C}">
  <sheetPr codeName="List5"/>
  <dimension ref="A1:J61"/>
  <sheetViews>
    <sheetView showGridLines="0" view="pageBreakPreview" topLeftCell="A7" zoomScaleNormal="100" zoomScaleSheetLayoutView="100" workbookViewId="0">
      <selection activeCell="D1" sqref="D1"/>
    </sheetView>
  </sheetViews>
  <sheetFormatPr defaultColWidth="9.1796875" defaultRowHeight="14"/>
  <cols>
    <col min="1" max="1" width="14.7265625" style="25" customWidth="1"/>
    <col min="2" max="3" width="10.7265625" style="25" customWidth="1"/>
    <col min="4" max="4" width="31.54296875" style="25" customWidth="1"/>
    <col min="5" max="5" width="8" style="25" customWidth="1"/>
    <col min="6" max="6" width="7.26953125" style="25" customWidth="1"/>
    <col min="7" max="7" width="1.7265625" style="25" customWidth="1"/>
    <col min="8" max="8" width="9" style="25" customWidth="1"/>
    <col min="9" max="9" width="5.7265625" style="25" customWidth="1"/>
    <col min="10" max="10" width="9.1796875" style="25" customWidth="1"/>
    <col min="11" max="16384" width="9.1796875" style="25"/>
  </cols>
  <sheetData>
    <row r="1" spans="1:10" ht="20">
      <c r="A1" s="45" t="str">
        <f>"2 STRUČNÝ PŘEHLED ZA "&amp;UPPER('3.1'!G5)&amp;" "&amp;'3.1'!A4</f>
        <v>2 STRUČNÝ PŘEHLED ZA IV. ČTVRTLETÍ 2024</v>
      </c>
      <c r="C1" s="26"/>
      <c r="D1" s="26"/>
    </row>
    <row r="2" spans="1:10" s="28" customFormat="1" ht="6" customHeight="1">
      <c r="A2" s="27"/>
      <c r="B2" s="27"/>
      <c r="C2" s="27"/>
      <c r="D2" s="27"/>
    </row>
    <row r="3" spans="1:10" ht="15" customHeight="1">
      <c r="A3" s="416" t="s">
        <v>211</v>
      </c>
      <c r="B3" s="416"/>
      <c r="C3" s="416"/>
      <c r="D3" s="416"/>
      <c r="E3" s="416"/>
      <c r="F3" s="416"/>
      <c r="G3" s="416"/>
      <c r="H3" s="416"/>
      <c r="I3" s="416"/>
    </row>
    <row r="4" spans="1:10" ht="15" customHeight="1">
      <c r="A4" s="416"/>
      <c r="B4" s="416"/>
      <c r="C4" s="416"/>
      <c r="D4" s="416"/>
      <c r="E4" s="416"/>
      <c r="F4" s="416"/>
      <c r="G4" s="416"/>
      <c r="H4" s="416"/>
      <c r="I4" s="416"/>
    </row>
    <row r="5" spans="1:10" ht="15" customHeight="1">
      <c r="A5" s="416"/>
      <c r="B5" s="416"/>
      <c r="C5" s="416"/>
      <c r="D5" s="416"/>
      <c r="E5" s="416"/>
      <c r="F5" s="416"/>
      <c r="G5" s="416"/>
      <c r="H5" s="416"/>
      <c r="I5" s="416"/>
    </row>
    <row r="6" spans="1:10" ht="15" customHeight="1">
      <c r="A6" s="416"/>
      <c r="B6" s="416"/>
      <c r="C6" s="416"/>
      <c r="D6" s="416"/>
      <c r="E6" s="416"/>
      <c r="F6" s="416"/>
      <c r="G6" s="416"/>
      <c r="H6" s="416"/>
      <c r="I6" s="416"/>
    </row>
    <row r="7" spans="1:10" ht="30" customHeight="1">
      <c r="A7" s="417" t="s">
        <v>247</v>
      </c>
      <c r="B7" s="417"/>
      <c r="C7" s="417"/>
      <c r="D7" s="417"/>
      <c r="E7" s="417"/>
      <c r="F7" s="417"/>
      <c r="G7" s="417"/>
      <c r="H7" s="417"/>
      <c r="I7" s="417"/>
      <c r="J7" s="29"/>
    </row>
    <row r="8" spans="1:10" ht="10" customHeight="1">
      <c r="A8" s="29"/>
      <c r="B8" s="29"/>
      <c r="C8" s="30"/>
      <c r="D8" s="30"/>
    </row>
    <row r="9" spans="1:10" ht="16" customHeight="1">
      <c r="A9" s="413" t="s">
        <v>212</v>
      </c>
      <c r="B9" s="413"/>
      <c r="C9" s="413"/>
      <c r="D9" s="413"/>
      <c r="E9" s="31">
        <f>'3.1'!G8/1000</f>
        <v>1338.5955534751581</v>
      </c>
      <c r="F9" s="32" t="s">
        <v>254</v>
      </c>
      <c r="G9" s="32" t="s">
        <v>213</v>
      </c>
      <c r="H9" s="31">
        <f>'3.1'!K8/1000</f>
        <v>14609.838705947001</v>
      </c>
      <c r="I9" s="32" t="s">
        <v>214</v>
      </c>
    </row>
    <row r="10" spans="1:10" ht="16" customHeight="1">
      <c r="A10" s="414" t="s">
        <v>215</v>
      </c>
      <c r="B10" s="414"/>
      <c r="C10" s="414"/>
      <c r="D10" s="414"/>
      <c r="E10" s="31">
        <f>'3.1'!G11/1000</f>
        <v>143.77465356945399</v>
      </c>
      <c r="F10" s="32" t="s">
        <v>254</v>
      </c>
      <c r="G10" s="32" t="s">
        <v>213</v>
      </c>
      <c r="H10" s="31">
        <f>'3.1'!K11/1000</f>
        <v>1568.9721653366</v>
      </c>
      <c r="I10" s="32" t="s">
        <v>214</v>
      </c>
    </row>
    <row r="11" spans="1:10" ht="10" customHeight="1">
      <c r="A11" s="33"/>
      <c r="B11" s="33"/>
      <c r="C11" s="34"/>
      <c r="D11" s="34"/>
      <c r="E11" s="35"/>
    </row>
    <row r="12" spans="1:10" ht="16" customHeight="1">
      <c r="A12" s="414" t="s">
        <v>216</v>
      </c>
      <c r="B12" s="414"/>
      <c r="C12" s="414"/>
      <c r="D12" s="414"/>
      <c r="E12" s="31">
        <f>'3.1'!G18/1000</f>
        <v>1202.4793820000002</v>
      </c>
      <c r="F12" s="32" t="s">
        <v>254</v>
      </c>
      <c r="G12" s="32" t="s">
        <v>213</v>
      </c>
      <c r="H12" s="31">
        <f>'3.1'!K18/1000</f>
        <v>13110.864024</v>
      </c>
      <c r="I12" s="32" t="s">
        <v>214</v>
      </c>
    </row>
    <row r="13" spans="1:10" ht="16" customHeight="1">
      <c r="A13" s="414" t="s">
        <v>217</v>
      </c>
      <c r="B13" s="414"/>
      <c r="C13" s="414"/>
      <c r="D13" s="414"/>
      <c r="E13" s="31">
        <f>'3.1'!G22/1000</f>
        <v>73.490787999999995</v>
      </c>
      <c r="F13" s="32" t="s">
        <v>254</v>
      </c>
      <c r="G13" s="32" t="s">
        <v>213</v>
      </c>
      <c r="H13" s="31">
        <f>'3.1'!K22/1000</f>
        <v>803.97192722900002</v>
      </c>
      <c r="I13" s="32" t="s">
        <v>214</v>
      </c>
    </row>
    <row r="14" spans="1:10" ht="16" customHeight="1">
      <c r="A14" s="414" t="s">
        <v>218</v>
      </c>
      <c r="B14" s="414"/>
      <c r="C14" s="414"/>
      <c r="D14" s="414"/>
      <c r="E14" s="31">
        <f>'3.1'!G27/1000</f>
        <v>2150.5891337324911</v>
      </c>
      <c r="F14" s="32" t="s">
        <v>254</v>
      </c>
      <c r="G14" s="32" t="s">
        <v>213</v>
      </c>
      <c r="H14" s="31">
        <f>'3.1'!K27/1000</f>
        <v>23471.611907740145</v>
      </c>
      <c r="I14" s="32" t="s">
        <v>214</v>
      </c>
    </row>
    <row r="15" spans="1:10" ht="10" customHeight="1">
      <c r="A15" s="33"/>
      <c r="B15" s="33"/>
      <c r="C15" s="34"/>
      <c r="D15" s="34"/>
      <c r="E15" s="35"/>
    </row>
    <row r="16" spans="1:10" ht="16" customHeight="1">
      <c r="A16" s="414" t="s">
        <v>219</v>
      </c>
      <c r="B16" s="414"/>
      <c r="C16" s="414"/>
      <c r="D16" s="414"/>
      <c r="E16" s="31">
        <f>'3.1'!G36/1000</f>
        <v>34.084551999999995</v>
      </c>
      <c r="F16" s="32" t="s">
        <v>254</v>
      </c>
      <c r="G16" s="32" t="s">
        <v>213</v>
      </c>
      <c r="H16" s="31">
        <f>'3.1'!K36/1000</f>
        <v>372.19279503389004</v>
      </c>
      <c r="I16" s="32" t="s">
        <v>214</v>
      </c>
    </row>
    <row r="17" spans="1:9" ht="30" customHeight="1">
      <c r="A17" s="417" t="s">
        <v>248</v>
      </c>
      <c r="B17" s="417"/>
      <c r="C17" s="417"/>
      <c r="D17" s="417"/>
      <c r="E17" s="417"/>
      <c r="F17" s="417"/>
      <c r="G17" s="417"/>
      <c r="H17" s="417"/>
      <c r="I17" s="417"/>
    </row>
    <row r="18" spans="1:9" ht="10" customHeight="1">
      <c r="A18" s="29"/>
      <c r="B18" s="29"/>
      <c r="C18" s="30"/>
      <c r="D18" s="30"/>
    </row>
    <row r="19" spans="1:9" ht="16" customHeight="1">
      <c r="A19" s="413" t="s">
        <v>220</v>
      </c>
      <c r="B19" s="413"/>
      <c r="C19" s="413"/>
      <c r="D19" s="413"/>
      <c r="E19" s="31">
        <f>'4.1'!B22</f>
        <v>2369.9027866970691</v>
      </c>
      <c r="F19" s="32" t="s">
        <v>254</v>
      </c>
      <c r="G19" s="32" t="s">
        <v>213</v>
      </c>
      <c r="H19" s="31">
        <f>'4.1'!I22</f>
        <v>25862.182914336372</v>
      </c>
      <c r="I19" s="32" t="s">
        <v>214</v>
      </c>
    </row>
    <row r="20" spans="1:9" ht="16" customHeight="1">
      <c r="A20" s="414" t="s">
        <v>221</v>
      </c>
      <c r="B20" s="414"/>
      <c r="C20" s="414"/>
      <c r="D20" s="414"/>
      <c r="E20" s="36">
        <f>'4.1'!D22*100</f>
        <v>14.132000748298811</v>
      </c>
      <c r="F20" s="32" t="s">
        <v>222</v>
      </c>
      <c r="G20" s="32"/>
      <c r="H20" s="31"/>
      <c r="I20" s="32"/>
    </row>
    <row r="21" spans="1:9" ht="10" customHeight="1">
      <c r="A21" s="37"/>
      <c r="B21" s="37"/>
      <c r="C21" s="37"/>
      <c r="D21" s="37"/>
      <c r="E21" s="36"/>
      <c r="F21" s="32"/>
      <c r="G21" s="32"/>
      <c r="H21" s="31"/>
      <c r="I21" s="32"/>
    </row>
    <row r="22" spans="1:9" ht="16" customHeight="1">
      <c r="A22" s="414" t="s">
        <v>223</v>
      </c>
      <c r="B22" s="414"/>
      <c r="C22" s="414"/>
      <c r="D22" s="414"/>
      <c r="E22" s="31">
        <f>'4.1'!E22</f>
        <v>2432.512659921244</v>
      </c>
      <c r="F22" s="32" t="s">
        <v>254</v>
      </c>
      <c r="G22" s="32" t="s">
        <v>213</v>
      </c>
      <c r="H22" s="31">
        <f>'4.1'!K22</f>
        <v>26545.683872383252</v>
      </c>
      <c r="I22" s="32" t="s">
        <v>214</v>
      </c>
    </row>
    <row r="23" spans="1:9" ht="16" customHeight="1">
      <c r="A23" s="414" t="s">
        <v>224</v>
      </c>
      <c r="B23" s="414"/>
      <c r="C23" s="414"/>
      <c r="D23" s="414"/>
      <c r="E23" s="36">
        <f>'4.1'!G22*100</f>
        <v>7.1031633545015307</v>
      </c>
      <c r="F23" s="32" t="s">
        <v>222</v>
      </c>
    </row>
    <row r="24" spans="1:9" ht="10" customHeight="1">
      <c r="A24" s="37"/>
      <c r="B24" s="37"/>
      <c r="C24" s="37"/>
      <c r="D24" s="37"/>
      <c r="E24" s="36"/>
      <c r="F24" s="32"/>
      <c r="G24" s="32"/>
      <c r="H24" s="31"/>
      <c r="I24" s="32"/>
    </row>
    <row r="25" spans="1:9" ht="16" customHeight="1">
      <c r="A25" s="414" t="s">
        <v>225</v>
      </c>
      <c r="B25" s="414"/>
      <c r="C25" s="414"/>
      <c r="D25" s="414"/>
      <c r="E25" s="36">
        <f>'4.1'!N22</f>
        <v>4.6286021505376338</v>
      </c>
      <c r="F25" s="32" t="s">
        <v>226</v>
      </c>
      <c r="G25" s="32"/>
      <c r="H25" s="31"/>
      <c r="I25" s="32"/>
    </row>
    <row r="26" spans="1:9" ht="16" customHeight="1">
      <c r="A26" s="414" t="s">
        <v>227</v>
      </c>
      <c r="B26" s="414"/>
      <c r="C26" s="414"/>
      <c r="D26" s="414"/>
      <c r="E26" s="36">
        <f>'4.1'!Q22</f>
        <v>3.83921146953405</v>
      </c>
      <c r="F26" s="32" t="s">
        <v>226</v>
      </c>
      <c r="G26" s="32"/>
      <c r="H26" s="31"/>
      <c r="I26" s="32"/>
    </row>
    <row r="27" spans="1:9" ht="16" customHeight="1">
      <c r="A27" s="414" t="s">
        <v>228</v>
      </c>
      <c r="B27" s="414"/>
      <c r="C27" s="414"/>
      <c r="D27" s="414"/>
      <c r="E27" s="36">
        <f>'4.1'!R22</f>
        <v>0.78939068100358378</v>
      </c>
      <c r="F27" s="32" t="s">
        <v>226</v>
      </c>
      <c r="G27" s="32"/>
      <c r="H27" s="31"/>
      <c r="I27" s="32"/>
    </row>
    <row r="28" spans="1:9" ht="10" customHeight="1">
      <c r="A28" s="37"/>
      <c r="B28" s="37"/>
      <c r="C28" s="37"/>
      <c r="D28" s="37"/>
      <c r="E28" s="31"/>
      <c r="F28" s="32"/>
      <c r="G28" s="32"/>
      <c r="H28" s="31"/>
      <c r="I28" s="32"/>
    </row>
    <row r="29" spans="1:9" ht="16" customHeight="1">
      <c r="A29" s="414" t="s">
        <v>229</v>
      </c>
      <c r="B29" s="414"/>
      <c r="C29" s="414"/>
      <c r="D29" s="414"/>
      <c r="E29" s="38">
        <f>MAX('4.3'!B38,'4.3'!E38,'4.3'!H38)/1000</f>
        <v>38.118645015085853</v>
      </c>
      <c r="F29" s="32" t="s">
        <v>254</v>
      </c>
      <c r="G29" s="32" t="s">
        <v>213</v>
      </c>
      <c r="H29" s="38">
        <f>MAX('4.3'!C38,'4.3'!F38,'4.3'!I38)/1000</f>
        <v>415.03984047519356</v>
      </c>
      <c r="I29" s="32" t="s">
        <v>214</v>
      </c>
    </row>
    <row r="30" spans="1:9" ht="16" customHeight="1">
      <c r="A30" s="414" t="s">
        <v>230</v>
      </c>
      <c r="B30" s="414"/>
      <c r="C30" s="414"/>
      <c r="D30" s="414"/>
      <c r="E30" s="38">
        <f>MIN('4.3'!B39,'4.3'!E39,'4.3'!H39)/1000</f>
        <v>15.064493233404173</v>
      </c>
      <c r="F30" s="32" t="s">
        <v>254</v>
      </c>
      <c r="G30" s="32" t="s">
        <v>213</v>
      </c>
      <c r="H30" s="38">
        <f>MIN('4.3'!C39,'4.3'!F39,'4.3'!I39)/1000</f>
        <v>164.9695625434635</v>
      </c>
      <c r="I30" s="32" t="s">
        <v>214</v>
      </c>
    </row>
    <row r="31" spans="1:9" ht="30" customHeight="1">
      <c r="A31" s="412" t="s">
        <v>249</v>
      </c>
      <c r="B31" s="412"/>
      <c r="C31" s="412"/>
      <c r="D31" s="412"/>
      <c r="E31" s="412"/>
      <c r="F31" s="412"/>
      <c r="G31" s="412"/>
      <c r="H31" s="412"/>
      <c r="I31" s="412"/>
    </row>
    <row r="32" spans="1:9" ht="10" customHeight="1"/>
    <row r="33" spans="1:9" ht="16" customHeight="1">
      <c r="A33" s="413" t="s">
        <v>231</v>
      </c>
      <c r="B33" s="413"/>
      <c r="C33" s="413"/>
      <c r="D33" s="413"/>
      <c r="E33" s="38">
        <f>'5.9'!E7*100</f>
        <v>11.059491523541256</v>
      </c>
      <c r="F33" s="32" t="s">
        <v>222</v>
      </c>
      <c r="H33" s="38">
        <f>'5.9'!F7*100</f>
        <v>12.898231558370796</v>
      </c>
      <c r="I33" s="32" t="s">
        <v>222</v>
      </c>
    </row>
    <row r="34" spans="1:9" ht="16" customHeight="1">
      <c r="A34" s="414" t="s">
        <v>232</v>
      </c>
      <c r="B34" s="414"/>
      <c r="C34" s="414"/>
      <c r="D34" s="414"/>
      <c r="E34" s="38">
        <f>'5.9'!E8*100</f>
        <v>79.571609814036449</v>
      </c>
      <c r="F34" s="32" t="s">
        <v>222</v>
      </c>
      <c r="H34" s="38">
        <f>'5.9'!F8*100</f>
        <v>11.160712484450297</v>
      </c>
      <c r="I34" s="32" t="s">
        <v>222</v>
      </c>
    </row>
    <row r="35" spans="1:9" ht="16" customHeight="1">
      <c r="A35" s="414" t="s">
        <v>233</v>
      </c>
      <c r="B35" s="414"/>
      <c r="C35" s="414"/>
      <c r="D35" s="414"/>
      <c r="E35" s="38">
        <f>'5.9'!E9*100</f>
        <v>3.8513551374401462</v>
      </c>
      <c r="F35" s="32" t="s">
        <v>222</v>
      </c>
      <c r="H35" s="38">
        <f>'5.9'!F9*100</f>
        <v>12.867183932707352</v>
      </c>
      <c r="I35" s="32" t="s">
        <v>222</v>
      </c>
    </row>
    <row r="36" spans="1:9" ht="16" customHeight="1">
      <c r="A36" s="414" t="s">
        <v>234</v>
      </c>
      <c r="B36" s="414"/>
      <c r="C36" s="414"/>
      <c r="D36" s="414"/>
      <c r="E36" s="38">
        <f>'5.9'!E10*100</f>
        <v>5.5175435249821572</v>
      </c>
      <c r="F36" s="32" t="s">
        <v>222</v>
      </c>
      <c r="H36" s="38">
        <f>'5.9'!F10*100</f>
        <v>95.167201969773728</v>
      </c>
      <c r="I36" s="32" t="s">
        <v>222</v>
      </c>
    </row>
    <row r="37" spans="1:9" ht="15" customHeight="1">
      <c r="A37" s="37"/>
      <c r="B37" s="37"/>
      <c r="C37" s="37"/>
      <c r="D37" s="37"/>
      <c r="E37" s="38"/>
      <c r="F37" s="32"/>
      <c r="H37" s="38"/>
      <c r="I37" s="32"/>
    </row>
    <row r="38" spans="1:9" ht="16" customHeight="1">
      <c r="A38" s="414" t="s">
        <v>235</v>
      </c>
      <c r="B38" s="414"/>
      <c r="C38" s="414"/>
      <c r="D38" s="414"/>
      <c r="E38" s="411">
        <f>'5.1'!D35</f>
        <v>2727457</v>
      </c>
      <c r="F38" s="411"/>
      <c r="H38" s="38"/>
      <c r="I38" s="32"/>
    </row>
    <row r="39" spans="1:9" ht="30" customHeight="1">
      <c r="A39" s="415"/>
      <c r="B39" s="415"/>
      <c r="C39" s="415"/>
      <c r="D39" s="415"/>
      <c r="E39" s="415"/>
      <c r="F39" s="415"/>
      <c r="G39" s="415"/>
      <c r="H39" s="415"/>
      <c r="I39" s="415"/>
    </row>
    <row r="40" spans="1:9" ht="16" customHeight="1">
      <c r="A40" s="29"/>
      <c r="B40" s="29"/>
    </row>
    <row r="41" spans="1:9" ht="16" customHeight="1">
      <c r="A41" s="410"/>
      <c r="B41" s="410"/>
      <c r="C41" s="410"/>
      <c r="D41" s="410"/>
      <c r="E41" s="410"/>
      <c r="F41" s="410"/>
      <c r="G41" s="410"/>
      <c r="H41" s="410"/>
      <c r="I41" s="410"/>
    </row>
    <row r="42" spans="1:9" ht="16" customHeight="1">
      <c r="A42" s="410"/>
      <c r="B42" s="410"/>
      <c r="C42" s="410"/>
      <c r="D42" s="410"/>
      <c r="E42" s="410"/>
      <c r="F42" s="410"/>
      <c r="G42" s="410"/>
      <c r="H42" s="410"/>
      <c r="I42" s="410"/>
    </row>
    <row r="43" spans="1:9" ht="16" customHeight="1">
      <c r="A43" s="410"/>
      <c r="B43" s="410"/>
      <c r="C43" s="410"/>
      <c r="D43" s="410"/>
      <c r="E43" s="410"/>
      <c r="F43" s="410"/>
      <c r="G43" s="410"/>
      <c r="H43" s="410"/>
      <c r="I43" s="410"/>
    </row>
    <row r="44" spans="1:9" ht="16" customHeight="1">
      <c r="A44" s="410"/>
      <c r="B44" s="410"/>
      <c r="C44" s="410"/>
      <c r="D44" s="410"/>
      <c r="E44" s="410"/>
      <c r="F44" s="410"/>
      <c r="G44" s="410"/>
      <c r="H44" s="410"/>
      <c r="I44" s="410"/>
    </row>
    <row r="45" spans="1:9" ht="16" customHeight="1">
      <c r="A45" s="410"/>
      <c r="B45" s="410"/>
      <c r="C45" s="410"/>
      <c r="D45" s="410"/>
      <c r="E45" s="410"/>
      <c r="F45" s="410"/>
      <c r="G45" s="410"/>
      <c r="H45" s="410"/>
      <c r="I45" s="410"/>
    </row>
    <row r="46" spans="1:9" ht="16" customHeight="1">
      <c r="A46" s="410"/>
      <c r="B46" s="410"/>
      <c r="C46" s="410"/>
      <c r="D46" s="410"/>
      <c r="E46" s="410"/>
      <c r="F46" s="410"/>
      <c r="G46" s="410"/>
      <c r="H46" s="410"/>
      <c r="I46" s="410"/>
    </row>
    <row r="47" spans="1:9" ht="16" customHeight="1">
      <c r="A47" s="410"/>
      <c r="B47" s="410"/>
      <c r="C47" s="410"/>
      <c r="D47" s="410"/>
      <c r="E47" s="410"/>
      <c r="F47" s="410"/>
      <c r="G47" s="410"/>
      <c r="H47" s="410"/>
      <c r="I47" s="410"/>
    </row>
    <row r="48" spans="1:9" ht="15" customHeight="1">
      <c r="A48" s="410"/>
      <c r="B48" s="410"/>
      <c r="C48" s="410"/>
      <c r="D48" s="410"/>
      <c r="E48" s="410"/>
      <c r="F48" s="410"/>
      <c r="G48" s="410"/>
      <c r="H48" s="410"/>
      <c r="I48" s="410"/>
    </row>
    <row r="49" spans="1:9" ht="15" customHeight="1">
      <c r="A49" s="410"/>
      <c r="B49" s="410"/>
      <c r="C49" s="410"/>
      <c r="D49" s="410"/>
      <c r="E49" s="410"/>
      <c r="F49" s="410"/>
      <c r="G49" s="410"/>
      <c r="H49" s="410"/>
      <c r="I49" s="410"/>
    </row>
    <row r="50" spans="1:9" ht="15" customHeight="1">
      <c r="A50" s="29"/>
      <c r="B50" s="29"/>
      <c r="C50" s="29"/>
      <c r="D50" s="29"/>
      <c r="E50" s="29"/>
      <c r="F50" s="29"/>
      <c r="G50" s="29"/>
      <c r="H50" s="29"/>
      <c r="I50" s="29"/>
    </row>
    <row r="51" spans="1:9" ht="16" customHeight="1">
      <c r="A51" s="29"/>
      <c r="B51" s="29"/>
      <c r="C51" s="29"/>
      <c r="D51" s="29"/>
      <c r="E51" s="29"/>
      <c r="F51" s="29"/>
      <c r="G51" s="29"/>
      <c r="H51" s="29"/>
      <c r="I51" s="29"/>
    </row>
    <row r="52" spans="1:9" ht="16" customHeight="1">
      <c r="A52" s="29"/>
      <c r="B52" s="29"/>
    </row>
    <row r="53" spans="1:9" ht="16" customHeight="1">
      <c r="A53" s="29"/>
      <c r="B53" s="29"/>
    </row>
    <row r="54" spans="1:9" ht="16" customHeight="1">
      <c r="A54" s="29"/>
      <c r="B54" s="29"/>
    </row>
    <row r="55" spans="1:9" ht="15" customHeight="1">
      <c r="A55" s="29"/>
      <c r="B55" s="29"/>
    </row>
    <row r="56" spans="1:9" ht="15" customHeight="1">
      <c r="A56" s="29"/>
      <c r="B56" s="29"/>
    </row>
    <row r="57" spans="1:9" ht="15" customHeight="1">
      <c r="A57" s="29"/>
      <c r="B57" s="29"/>
    </row>
    <row r="58" spans="1:9" ht="15" customHeight="1">
      <c r="A58" s="29"/>
      <c r="B58" s="29"/>
    </row>
    <row r="59" spans="1:9" ht="15" customHeight="1">
      <c r="A59" s="29"/>
      <c r="B59" s="29"/>
    </row>
    <row r="60" spans="1:9" ht="11.5" customHeight="1">
      <c r="A60" s="29"/>
      <c r="B60" s="29"/>
    </row>
    <row r="61" spans="1:9" ht="10.9" customHeight="1"/>
  </sheetData>
  <mergeCells count="27">
    <mergeCell ref="A22:D22"/>
    <mergeCell ref="A23:D23"/>
    <mergeCell ref="A14:D14"/>
    <mergeCell ref="A16:D16"/>
    <mergeCell ref="A17:I17"/>
    <mergeCell ref="A19:D19"/>
    <mergeCell ref="A20:D20"/>
    <mergeCell ref="A13:D13"/>
    <mergeCell ref="A3:I6"/>
    <mergeCell ref="A7:I7"/>
    <mergeCell ref="A9:D9"/>
    <mergeCell ref="A10:D10"/>
    <mergeCell ref="A12:D12"/>
    <mergeCell ref="A25:D25"/>
    <mergeCell ref="A26:D26"/>
    <mergeCell ref="A27:D27"/>
    <mergeCell ref="A29:D29"/>
    <mergeCell ref="A38:D38"/>
    <mergeCell ref="A30:D30"/>
    <mergeCell ref="A41:I49"/>
    <mergeCell ref="E38:F38"/>
    <mergeCell ref="A31:I31"/>
    <mergeCell ref="A33:D33"/>
    <mergeCell ref="A34:D34"/>
    <mergeCell ref="A35:D35"/>
    <mergeCell ref="A36:D36"/>
    <mergeCell ref="A39:I39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8"/>
  <dimension ref="A1:R56"/>
  <sheetViews>
    <sheetView showGridLines="0" zoomScaleNormal="100" zoomScaleSheetLayoutView="100" workbookViewId="0">
      <selection activeCell="D1" sqref="D1"/>
    </sheetView>
  </sheetViews>
  <sheetFormatPr defaultColWidth="9.1796875" defaultRowHeight="10"/>
  <cols>
    <col min="1" max="1" width="6.81640625" style="39" customWidth="1"/>
    <col min="2" max="2" width="8.453125" style="39" customWidth="1"/>
    <col min="3" max="3" width="13.1796875" style="39" customWidth="1"/>
    <col min="4" max="6" width="8.26953125" style="39" customWidth="1"/>
    <col min="7" max="7" width="9.7265625" style="39" customWidth="1"/>
    <col min="8" max="10" width="8.7265625" style="39" customWidth="1"/>
    <col min="11" max="11" width="9.7265625" style="39" customWidth="1"/>
    <col min="12" max="16384" width="9.1796875" style="39"/>
  </cols>
  <sheetData>
    <row r="1" spans="1:18" ht="20">
      <c r="A1" s="55" t="s">
        <v>283</v>
      </c>
    </row>
    <row r="2" spans="1:18" ht="18">
      <c r="A2" s="427" t="s">
        <v>288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</row>
    <row r="3" spans="1:18" ht="6" customHeight="1">
      <c r="A3" s="229"/>
      <c r="B3" s="229"/>
      <c r="C3" s="230"/>
      <c r="D3" s="428"/>
      <c r="E3" s="429"/>
      <c r="F3" s="429"/>
      <c r="G3" s="429"/>
      <c r="H3" s="429"/>
      <c r="I3" s="429"/>
      <c r="J3" s="429"/>
      <c r="K3" s="429"/>
    </row>
    <row r="4" spans="1:18" s="40" customFormat="1" ht="20.149999999999999" customHeight="1">
      <c r="A4" s="377">
        <v>2024</v>
      </c>
      <c r="B4" s="150"/>
      <c r="C4" s="198"/>
      <c r="D4" s="430" t="s">
        <v>257</v>
      </c>
      <c r="E4" s="431"/>
      <c r="F4" s="431"/>
      <c r="G4" s="432"/>
      <c r="H4" s="430" t="s">
        <v>258</v>
      </c>
      <c r="I4" s="431"/>
      <c r="J4" s="431"/>
      <c r="K4" s="431"/>
    </row>
    <row r="5" spans="1:18" ht="20.149999999999999" customHeight="1">
      <c r="A5" s="153"/>
      <c r="B5" s="153"/>
      <c r="C5" s="199"/>
      <c r="D5" s="200" t="s">
        <v>168</v>
      </c>
      <c r="E5" s="201" t="s">
        <v>169</v>
      </c>
      <c r="F5" s="201" t="s">
        <v>170</v>
      </c>
      <c r="G5" s="202" t="s">
        <v>57</v>
      </c>
      <c r="H5" s="200" t="str">
        <f>D5</f>
        <v>Říjen</v>
      </c>
      <c r="I5" s="201" t="str">
        <f>E5</f>
        <v>Listopad</v>
      </c>
      <c r="J5" s="201" t="str">
        <f>F5</f>
        <v>Prosinec</v>
      </c>
      <c r="K5" s="203" t="str">
        <f>G5</f>
        <v>IV. čtvrtletí</v>
      </c>
    </row>
    <row r="6" spans="1:18" ht="15" customHeight="1">
      <c r="A6" s="420" t="s">
        <v>49</v>
      </c>
      <c r="B6" s="433" t="s">
        <v>21</v>
      </c>
      <c r="C6" s="154" t="s">
        <v>23</v>
      </c>
      <c r="D6" s="155">
        <v>507315.17599999998</v>
      </c>
      <c r="E6" s="156">
        <v>422965.05100000004</v>
      </c>
      <c r="F6" s="156">
        <v>407832.67000000004</v>
      </c>
      <c r="G6" s="157">
        <f>SUM(D6:F6)</f>
        <v>1338112.8969999999</v>
      </c>
      <c r="H6" s="155">
        <v>5553921.3659999995</v>
      </c>
      <c r="I6" s="156">
        <v>4611271.3150000004</v>
      </c>
      <c r="J6" s="156">
        <v>4439384.4020000007</v>
      </c>
      <c r="K6" s="158">
        <f>SUM(H6:J6)</f>
        <v>14604577.083000001</v>
      </c>
      <c r="L6" s="42"/>
      <c r="M6" s="42"/>
      <c r="N6" s="42"/>
      <c r="O6" s="42"/>
      <c r="P6" s="42"/>
      <c r="Q6" s="42"/>
      <c r="R6" s="42"/>
    </row>
    <row r="7" spans="1:18" ht="15" customHeight="1">
      <c r="A7" s="420"/>
      <c r="B7" s="433"/>
      <c r="C7" s="154" t="s">
        <v>24</v>
      </c>
      <c r="D7" s="155">
        <v>93.569697770999994</v>
      </c>
      <c r="E7" s="156">
        <v>188.187184331</v>
      </c>
      <c r="F7" s="156">
        <v>200.89959305599999</v>
      </c>
      <c r="G7" s="157">
        <f>SUM(D7:F7)</f>
        <v>482.65647515799992</v>
      </c>
      <c r="H7" s="155">
        <v>1021.577368682</v>
      </c>
      <c r="I7" s="156">
        <v>2054.5038953180001</v>
      </c>
      <c r="J7" s="156">
        <v>2185.5416829999999</v>
      </c>
      <c r="K7" s="158">
        <f t="shared" ref="K7:K47" si="0">SUM(H7:J7)</f>
        <v>5261.6229469999998</v>
      </c>
      <c r="L7" s="42"/>
      <c r="M7" s="42"/>
      <c r="N7" s="42"/>
      <c r="O7" s="42"/>
      <c r="P7" s="42"/>
      <c r="Q7" s="42"/>
    </row>
    <row r="8" spans="1:18" ht="15" customHeight="1">
      <c r="A8" s="420"/>
      <c r="B8" s="434"/>
      <c r="C8" s="159" t="s">
        <v>25</v>
      </c>
      <c r="D8" s="160">
        <v>507408.74569777097</v>
      </c>
      <c r="E8" s="161">
        <v>423153.23818433104</v>
      </c>
      <c r="F8" s="161">
        <v>408033.56959305605</v>
      </c>
      <c r="G8" s="162">
        <f t="shared" ref="G8" si="1">SUM(D8:F8)</f>
        <v>1338595.5534751581</v>
      </c>
      <c r="H8" s="160">
        <v>5554942.9433686817</v>
      </c>
      <c r="I8" s="161">
        <v>4613325.8188953185</v>
      </c>
      <c r="J8" s="161">
        <v>4441569.9436830003</v>
      </c>
      <c r="K8" s="163">
        <f t="shared" si="0"/>
        <v>14609838.705947001</v>
      </c>
      <c r="L8" s="42"/>
      <c r="M8" s="42"/>
      <c r="N8" s="42"/>
      <c r="O8" s="42"/>
      <c r="P8" s="42"/>
      <c r="Q8" s="42"/>
    </row>
    <row r="9" spans="1:18" ht="15" customHeight="1">
      <c r="A9" s="420"/>
      <c r="B9" s="435" t="s">
        <v>22</v>
      </c>
      <c r="C9" s="164" t="s">
        <v>23</v>
      </c>
      <c r="D9" s="165">
        <v>14161.502</v>
      </c>
      <c r="E9" s="166">
        <v>63043.932000000001</v>
      </c>
      <c r="F9" s="166">
        <v>66460.123999999996</v>
      </c>
      <c r="G9" s="167">
        <f>SUM(D9:F9)</f>
        <v>143665.55800000002</v>
      </c>
      <c r="H9" s="165">
        <v>155181.845</v>
      </c>
      <c r="I9" s="166">
        <v>688318.31900000002</v>
      </c>
      <c r="J9" s="166">
        <v>724281.75</v>
      </c>
      <c r="K9" s="168">
        <f t="shared" si="0"/>
        <v>1567781.9139999999</v>
      </c>
      <c r="L9" s="42"/>
      <c r="M9" s="42"/>
      <c r="N9" s="42"/>
      <c r="O9" s="42"/>
      <c r="P9" s="42"/>
      <c r="Q9" s="42"/>
    </row>
    <row r="10" spans="1:18" ht="15" customHeight="1">
      <c r="A10" s="420"/>
      <c r="B10" s="433"/>
      <c r="C10" s="154" t="s">
        <v>24</v>
      </c>
      <c r="D10" s="155">
        <v>22.917905761</v>
      </c>
      <c r="E10" s="156">
        <v>39.053501163</v>
      </c>
      <c r="F10" s="156">
        <v>47.12416253</v>
      </c>
      <c r="G10" s="157">
        <f>SUM(D10:F10)</f>
        <v>109.095569454</v>
      </c>
      <c r="H10" s="155">
        <v>250.96241860000001</v>
      </c>
      <c r="I10" s="156">
        <v>426.27052839999999</v>
      </c>
      <c r="J10" s="156">
        <v>513.01838959999998</v>
      </c>
      <c r="K10" s="158">
        <f t="shared" si="0"/>
        <v>1190.2513365999998</v>
      </c>
      <c r="L10" s="42"/>
      <c r="M10" s="42"/>
      <c r="N10" s="42"/>
      <c r="O10" s="42"/>
      <c r="P10" s="42"/>
      <c r="Q10" s="42"/>
    </row>
    <row r="11" spans="1:18" ht="15" customHeight="1">
      <c r="A11" s="420"/>
      <c r="B11" s="434"/>
      <c r="C11" s="159" t="s">
        <v>25</v>
      </c>
      <c r="D11" s="160">
        <v>14184.419905761</v>
      </c>
      <c r="E11" s="161">
        <v>63082.985501162999</v>
      </c>
      <c r="F11" s="161">
        <v>66507.248162529999</v>
      </c>
      <c r="G11" s="162">
        <f t="shared" ref="G11" si="2">SUM(D11:F11)</f>
        <v>143774.65356945398</v>
      </c>
      <c r="H11" s="160">
        <v>155432.80741859999</v>
      </c>
      <c r="I11" s="161">
        <v>688744.58952839999</v>
      </c>
      <c r="J11" s="161">
        <v>724794.76838959998</v>
      </c>
      <c r="K11" s="163">
        <f t="shared" si="0"/>
        <v>1568972.1653366</v>
      </c>
      <c r="L11" s="42"/>
      <c r="M11" s="42"/>
      <c r="N11" s="42"/>
      <c r="O11" s="42"/>
      <c r="P11" s="42"/>
      <c r="Q11" s="42"/>
    </row>
    <row r="12" spans="1:18" ht="15" customHeight="1">
      <c r="A12" s="420"/>
      <c r="B12" s="423" t="s">
        <v>51</v>
      </c>
      <c r="C12" s="154" t="s">
        <v>23</v>
      </c>
      <c r="D12" s="155">
        <v>493153.674</v>
      </c>
      <c r="E12" s="156">
        <v>359921.11900000006</v>
      </c>
      <c r="F12" s="156">
        <v>341372.54600000003</v>
      </c>
      <c r="G12" s="157">
        <f>SUM(D12:F12)</f>
        <v>1194447.3390000002</v>
      </c>
      <c r="H12" s="155">
        <v>5398739.5209999997</v>
      </c>
      <c r="I12" s="156">
        <v>3922952.9960000003</v>
      </c>
      <c r="J12" s="156">
        <v>3715102.6520000007</v>
      </c>
      <c r="K12" s="158">
        <f t="shared" si="0"/>
        <v>13036795.169000002</v>
      </c>
      <c r="L12" s="42"/>
      <c r="M12" s="42"/>
      <c r="N12" s="42"/>
      <c r="O12" s="42"/>
      <c r="P12" s="42"/>
      <c r="Q12" s="42"/>
    </row>
    <row r="13" spans="1:18" ht="15" customHeight="1">
      <c r="A13" s="420"/>
      <c r="B13" s="433"/>
      <c r="C13" s="154" t="s">
        <v>24</v>
      </c>
      <c r="D13" s="155">
        <v>70.651792009999994</v>
      </c>
      <c r="E13" s="156">
        <v>149.133683168</v>
      </c>
      <c r="F13" s="156">
        <v>153.77543052599998</v>
      </c>
      <c r="G13" s="157">
        <f>SUM(D13:F13)</f>
        <v>373.56090570399999</v>
      </c>
      <c r="H13" s="155">
        <v>770.61495008200006</v>
      </c>
      <c r="I13" s="156">
        <v>1628.2333669180002</v>
      </c>
      <c r="J13" s="156">
        <v>1672.5232934000001</v>
      </c>
      <c r="K13" s="158">
        <f t="shared" si="0"/>
        <v>4071.3716104000005</v>
      </c>
      <c r="L13" s="42"/>
      <c r="M13" s="42"/>
      <c r="N13" s="42"/>
      <c r="O13" s="42"/>
      <c r="P13" s="42"/>
      <c r="Q13" s="42"/>
    </row>
    <row r="14" spans="1:18" ht="15" customHeight="1">
      <c r="A14" s="421"/>
      <c r="B14" s="434"/>
      <c r="C14" s="159" t="s">
        <v>25</v>
      </c>
      <c r="D14" s="160">
        <v>493224.32579201</v>
      </c>
      <c r="E14" s="161">
        <v>360070.25268316804</v>
      </c>
      <c r="F14" s="161">
        <v>341526.32143052603</v>
      </c>
      <c r="G14" s="162">
        <f t="shared" ref="G14:G51" si="3">SUM(D14:F14)</f>
        <v>1194820.899905704</v>
      </c>
      <c r="H14" s="160">
        <v>5399510.135950082</v>
      </c>
      <c r="I14" s="161">
        <v>3924581.2293669181</v>
      </c>
      <c r="J14" s="161">
        <v>3716775.1752934009</v>
      </c>
      <c r="K14" s="163">
        <f t="shared" si="0"/>
        <v>13040866.540610401</v>
      </c>
      <c r="L14" s="42"/>
      <c r="M14" s="42"/>
      <c r="N14" s="42"/>
      <c r="O14" s="42"/>
      <c r="P14" s="42"/>
      <c r="Q14" s="42"/>
    </row>
    <row r="15" spans="1:18" ht="15" customHeight="1">
      <c r="A15" s="419" t="s">
        <v>149</v>
      </c>
      <c r="B15" s="435" t="s">
        <v>26</v>
      </c>
      <c r="C15" s="164" t="s">
        <v>313</v>
      </c>
      <c r="D15" s="165">
        <v>64357.493000000002</v>
      </c>
      <c r="E15" s="166">
        <v>346902.80300000001</v>
      </c>
      <c r="F15" s="166">
        <v>457621.261</v>
      </c>
      <c r="G15" s="167">
        <f t="shared" si="3"/>
        <v>868881.55700000003</v>
      </c>
      <c r="H15" s="165">
        <v>704161.38199999998</v>
      </c>
      <c r="I15" s="166">
        <v>3788423.2820000001</v>
      </c>
      <c r="J15" s="166">
        <v>4976484.466</v>
      </c>
      <c r="K15" s="168">
        <f t="shared" si="0"/>
        <v>9469069.129999999</v>
      </c>
      <c r="L15" s="42"/>
      <c r="M15" s="42"/>
      <c r="N15" s="42"/>
      <c r="O15" s="42"/>
      <c r="P15" s="42"/>
      <c r="Q15" s="42"/>
    </row>
    <row r="16" spans="1:18" ht="15" customHeight="1">
      <c r="A16" s="420"/>
      <c r="B16" s="433"/>
      <c r="C16" s="154" t="s">
        <v>209</v>
      </c>
      <c r="D16" s="155">
        <v>24397.184000000001</v>
      </c>
      <c r="E16" s="156">
        <v>71297.284</v>
      </c>
      <c r="F16" s="156">
        <v>76061.809999999983</v>
      </c>
      <c r="G16" s="157">
        <f>SUM(D16:F16)</f>
        <v>171756.27799999999</v>
      </c>
      <c r="H16" s="155">
        <v>266632.26514989999</v>
      </c>
      <c r="I16" s="156">
        <v>778562.43357460026</v>
      </c>
      <c r="J16" s="156">
        <v>829309.89504500013</v>
      </c>
      <c r="K16" s="158">
        <f t="shared" si="0"/>
        <v>1874504.5937695005</v>
      </c>
      <c r="L16" s="42"/>
      <c r="M16" s="42"/>
      <c r="N16" s="42"/>
      <c r="O16" s="42"/>
      <c r="P16" s="42"/>
      <c r="Q16" s="42"/>
    </row>
    <row r="17" spans="1:17" ht="15" customHeight="1">
      <c r="A17" s="420"/>
      <c r="B17" s="433"/>
      <c r="C17" s="154" t="s">
        <v>317</v>
      </c>
      <c r="D17" s="155">
        <v>13034.805</v>
      </c>
      <c r="E17" s="156">
        <v>79398.688999999998</v>
      </c>
      <c r="F17" s="156">
        <v>69408.053000000029</v>
      </c>
      <c r="G17" s="157">
        <f>SUM(D17:F17)</f>
        <v>161841.54700000002</v>
      </c>
      <c r="H17" s="155">
        <v>142858.5668501</v>
      </c>
      <c r="I17" s="156">
        <v>867102.77242539974</v>
      </c>
      <c r="J17" s="156">
        <v>757328.96095499978</v>
      </c>
      <c r="K17" s="158">
        <f t="shared" si="0"/>
        <v>1767290.3002304996</v>
      </c>
      <c r="L17" s="42"/>
      <c r="M17" s="42"/>
      <c r="N17" s="42"/>
      <c r="O17" s="42"/>
      <c r="P17" s="42"/>
      <c r="Q17" s="42"/>
    </row>
    <row r="18" spans="1:17" ht="15" customHeight="1">
      <c r="A18" s="420"/>
      <c r="B18" s="434"/>
      <c r="C18" s="159" t="s">
        <v>25</v>
      </c>
      <c r="D18" s="160">
        <v>101789.48199999999</v>
      </c>
      <c r="E18" s="161">
        <v>497598.77600000001</v>
      </c>
      <c r="F18" s="161">
        <v>603091.12400000007</v>
      </c>
      <c r="G18" s="162">
        <f>SUM(D18:F18)</f>
        <v>1202479.3820000002</v>
      </c>
      <c r="H18" s="160">
        <v>1113652.2139999999</v>
      </c>
      <c r="I18" s="161">
        <v>5434088.4880000008</v>
      </c>
      <c r="J18" s="161">
        <v>6563123.3219999997</v>
      </c>
      <c r="K18" s="163">
        <f>SUM(H18:J18)</f>
        <v>13110864.024</v>
      </c>
      <c r="L18" s="42"/>
      <c r="M18" s="42"/>
      <c r="N18" s="42"/>
      <c r="O18" s="42"/>
      <c r="P18" s="42"/>
      <c r="Q18" s="42"/>
    </row>
    <row r="19" spans="1:17" ht="15" customHeight="1">
      <c r="A19" s="420"/>
      <c r="B19" s="435" t="s">
        <v>27</v>
      </c>
      <c r="C19" s="164" t="s">
        <v>313</v>
      </c>
      <c r="D19" s="165">
        <v>27064.032000000003</v>
      </c>
      <c r="E19" s="166">
        <v>6780.732</v>
      </c>
      <c r="F19" s="166">
        <v>17302.006000000001</v>
      </c>
      <c r="G19" s="167">
        <f t="shared" si="3"/>
        <v>51146.770000000004</v>
      </c>
      <c r="H19" s="165">
        <v>296654.80264200002</v>
      </c>
      <c r="I19" s="166">
        <v>74182.022314000002</v>
      </c>
      <c r="J19" s="166">
        <v>187849.55427299999</v>
      </c>
      <c r="K19" s="168">
        <f t="shared" si="0"/>
        <v>558686.37922900007</v>
      </c>
      <c r="L19" s="42"/>
      <c r="M19" s="42"/>
      <c r="N19" s="42"/>
      <c r="O19" s="42"/>
      <c r="P19" s="42"/>
      <c r="Q19" s="42"/>
    </row>
    <row r="20" spans="1:17" ht="15" customHeight="1">
      <c r="A20" s="420"/>
      <c r="B20" s="433"/>
      <c r="C20" s="154" t="s">
        <v>209</v>
      </c>
      <c r="D20" s="155">
        <v>9834.0229999999992</v>
      </c>
      <c r="E20" s="156">
        <v>0</v>
      </c>
      <c r="F20" s="156">
        <v>0</v>
      </c>
      <c r="G20" s="157">
        <f t="shared" si="3"/>
        <v>9834.0229999999992</v>
      </c>
      <c r="H20" s="155">
        <v>107904.6290783</v>
      </c>
      <c r="I20" s="156">
        <v>0</v>
      </c>
      <c r="J20" s="156">
        <v>0</v>
      </c>
      <c r="K20" s="158">
        <f t="shared" si="0"/>
        <v>107904.6290783</v>
      </c>
      <c r="L20" s="42"/>
      <c r="M20" s="42"/>
      <c r="N20" s="42"/>
      <c r="O20" s="42"/>
      <c r="P20" s="42"/>
      <c r="Q20" s="42"/>
    </row>
    <row r="21" spans="1:17" ht="15" customHeight="1">
      <c r="A21" s="420"/>
      <c r="B21" s="433"/>
      <c r="C21" s="154" t="s">
        <v>317</v>
      </c>
      <c r="D21" s="155">
        <v>12509.995000000001</v>
      </c>
      <c r="E21" s="156">
        <v>0</v>
      </c>
      <c r="F21" s="156">
        <v>0</v>
      </c>
      <c r="G21" s="157">
        <f t="shared" si="3"/>
        <v>12509.995000000001</v>
      </c>
      <c r="H21" s="155">
        <v>137380.91892170001</v>
      </c>
      <c r="I21" s="156">
        <v>0</v>
      </c>
      <c r="J21" s="156">
        <v>0</v>
      </c>
      <c r="K21" s="158">
        <f t="shared" si="0"/>
        <v>137380.91892170001</v>
      </c>
      <c r="L21" s="42"/>
      <c r="M21" s="42"/>
      <c r="N21" s="42"/>
      <c r="O21" s="42"/>
      <c r="P21" s="42"/>
      <c r="Q21" s="42"/>
    </row>
    <row r="22" spans="1:17" ht="15" customHeight="1">
      <c r="A22" s="420"/>
      <c r="B22" s="434"/>
      <c r="C22" s="159" t="s">
        <v>25</v>
      </c>
      <c r="D22" s="160">
        <v>49408.05</v>
      </c>
      <c r="E22" s="161">
        <v>6780.732</v>
      </c>
      <c r="F22" s="161">
        <v>17302.006000000001</v>
      </c>
      <c r="G22" s="162">
        <f t="shared" si="3"/>
        <v>73490.788</v>
      </c>
      <c r="H22" s="160">
        <v>541940.35064199998</v>
      </c>
      <c r="I22" s="161">
        <v>74182.022314000002</v>
      </c>
      <c r="J22" s="161">
        <v>187849.55427299999</v>
      </c>
      <c r="K22" s="163">
        <f t="shared" si="0"/>
        <v>803971.92722900002</v>
      </c>
      <c r="L22" s="42"/>
      <c r="M22" s="42"/>
      <c r="N22" s="42"/>
      <c r="O22" s="42"/>
      <c r="P22" s="42"/>
      <c r="Q22" s="42"/>
    </row>
    <row r="23" spans="1:17" ht="15" customHeight="1">
      <c r="A23" s="420"/>
      <c r="B23" s="423" t="s">
        <v>52</v>
      </c>
      <c r="C23" s="164" t="s">
        <v>313</v>
      </c>
      <c r="D23" s="155">
        <v>37293.460999999996</v>
      </c>
      <c r="E23" s="156">
        <v>340122.071</v>
      </c>
      <c r="F23" s="156">
        <v>440319.255</v>
      </c>
      <c r="G23" s="157">
        <f t="shared" si="3"/>
        <v>817734.78700000001</v>
      </c>
      <c r="H23" s="155">
        <v>407506.57935799996</v>
      </c>
      <c r="I23" s="156">
        <v>3714241.2596860002</v>
      </c>
      <c r="J23" s="156">
        <v>4788634.911727</v>
      </c>
      <c r="K23" s="158">
        <f t="shared" si="0"/>
        <v>8910382.750771001</v>
      </c>
      <c r="L23" s="42"/>
      <c r="M23" s="42"/>
      <c r="N23" s="42"/>
      <c r="O23" s="42"/>
      <c r="P23" s="42"/>
      <c r="Q23" s="42"/>
    </row>
    <row r="24" spans="1:17" ht="15" customHeight="1">
      <c r="A24" s="420"/>
      <c r="B24" s="433"/>
      <c r="C24" s="154" t="s">
        <v>209</v>
      </c>
      <c r="D24" s="155">
        <v>14563.161000000002</v>
      </c>
      <c r="E24" s="156">
        <v>71297.284</v>
      </c>
      <c r="F24" s="156">
        <v>76061.809999999983</v>
      </c>
      <c r="G24" s="157">
        <f t="shared" si="3"/>
        <v>161922.255</v>
      </c>
      <c r="H24" s="155">
        <v>158727.63607159999</v>
      </c>
      <c r="I24" s="156">
        <v>778562.43357460026</v>
      </c>
      <c r="J24" s="156">
        <v>829309.89504500013</v>
      </c>
      <c r="K24" s="158">
        <f t="shared" si="0"/>
        <v>1766599.9646912003</v>
      </c>
      <c r="L24" s="42"/>
      <c r="M24" s="42"/>
      <c r="N24" s="42"/>
      <c r="O24" s="42"/>
      <c r="P24" s="42"/>
      <c r="Q24" s="42"/>
    </row>
    <row r="25" spans="1:17" ht="15" customHeight="1">
      <c r="A25" s="420"/>
      <c r="B25" s="433"/>
      <c r="C25" s="154" t="s">
        <v>317</v>
      </c>
      <c r="D25" s="155">
        <v>524.80999999999949</v>
      </c>
      <c r="E25" s="156">
        <v>79398.688999999998</v>
      </c>
      <c r="F25" s="156">
        <v>69408.053000000029</v>
      </c>
      <c r="G25" s="157">
        <f t="shared" si="3"/>
        <v>149331.55200000003</v>
      </c>
      <c r="H25" s="155">
        <v>5477.6479283999943</v>
      </c>
      <c r="I25" s="156">
        <v>867102.77242539974</v>
      </c>
      <c r="J25" s="156">
        <v>757328.96095499978</v>
      </c>
      <c r="K25" s="158">
        <f t="shared" si="0"/>
        <v>1629909.3813087996</v>
      </c>
      <c r="L25" s="42"/>
      <c r="M25" s="42"/>
      <c r="N25" s="42"/>
      <c r="O25" s="42"/>
      <c r="P25" s="42"/>
      <c r="Q25" s="42"/>
    </row>
    <row r="26" spans="1:17" ht="15" customHeight="1">
      <c r="A26" s="420"/>
      <c r="B26" s="434"/>
      <c r="C26" s="159" t="s">
        <v>25</v>
      </c>
      <c r="D26" s="160">
        <v>52381.431999999993</v>
      </c>
      <c r="E26" s="161">
        <v>490818.04399999999</v>
      </c>
      <c r="F26" s="161">
        <v>585789.11800000002</v>
      </c>
      <c r="G26" s="162">
        <f t="shared" si="3"/>
        <v>1128988.594</v>
      </c>
      <c r="H26" s="160">
        <v>571711.86335799994</v>
      </c>
      <c r="I26" s="161">
        <v>5359906.4656860009</v>
      </c>
      <c r="J26" s="161">
        <v>6375273.7677269997</v>
      </c>
      <c r="K26" s="163">
        <f t="shared" si="0"/>
        <v>12306892.096771002</v>
      </c>
      <c r="L26" s="42"/>
      <c r="M26" s="42"/>
      <c r="N26" s="42"/>
      <c r="O26" s="42"/>
      <c r="P26" s="42"/>
      <c r="Q26" s="42"/>
    </row>
    <row r="27" spans="1:17" ht="15" customHeight="1">
      <c r="A27" s="421"/>
      <c r="B27" s="418" t="s">
        <v>54</v>
      </c>
      <c r="C27" s="418"/>
      <c r="D27" s="160">
        <v>3228273.3407324906</v>
      </c>
      <c r="E27" s="161">
        <v>2736954.2417324898</v>
      </c>
      <c r="F27" s="161">
        <v>2150589.1337324912</v>
      </c>
      <c r="G27" s="162">
        <f>F27</f>
        <v>2150589.1337324912</v>
      </c>
      <c r="H27" s="160">
        <v>35218605.954773553</v>
      </c>
      <c r="I27" s="161">
        <v>29853156.426359151</v>
      </c>
      <c r="J27" s="161">
        <v>23471611.907740146</v>
      </c>
      <c r="K27" s="163">
        <f>J27</f>
        <v>23471611.907740146</v>
      </c>
      <c r="L27" s="42"/>
      <c r="M27" s="42"/>
      <c r="N27" s="42"/>
      <c r="O27" s="42"/>
      <c r="P27" s="42"/>
      <c r="Q27" s="42"/>
    </row>
    <row r="28" spans="1:17" ht="15" customHeight="1">
      <c r="A28" s="419" t="s">
        <v>50</v>
      </c>
      <c r="B28" s="422" t="s">
        <v>194</v>
      </c>
      <c r="C28" s="164" t="s">
        <v>28</v>
      </c>
      <c r="D28" s="165">
        <v>7793.3539999999985</v>
      </c>
      <c r="E28" s="166">
        <v>7833.9690000000001</v>
      </c>
      <c r="F28" s="166">
        <v>8351.5960000000014</v>
      </c>
      <c r="G28" s="167">
        <f t="shared" si="3"/>
        <v>23978.919000000002</v>
      </c>
      <c r="H28" s="165">
        <v>85202.876617732996</v>
      </c>
      <c r="I28" s="166">
        <v>85345.581926017039</v>
      </c>
      <c r="J28" s="166">
        <v>90929.633737771001</v>
      </c>
      <c r="K28" s="168">
        <f t="shared" si="0"/>
        <v>261478.09228152107</v>
      </c>
      <c r="L28" s="42"/>
      <c r="M28" s="42"/>
      <c r="N28" s="42"/>
      <c r="O28" s="42"/>
      <c r="P28" s="42"/>
      <c r="Q28" s="42"/>
    </row>
    <row r="29" spans="1:17" ht="15" customHeight="1">
      <c r="A29" s="420"/>
      <c r="B29" s="423"/>
      <c r="C29" s="154" t="s">
        <v>31</v>
      </c>
      <c r="D29" s="155">
        <v>162.6909999999998</v>
      </c>
      <c r="E29" s="156">
        <v>321.03599999999938</v>
      </c>
      <c r="F29" s="156">
        <v>6591.2039999999988</v>
      </c>
      <c r="G29" s="157">
        <f t="shared" si="3"/>
        <v>7074.9309999999978</v>
      </c>
      <c r="H29" s="155">
        <v>1946.1137523690086</v>
      </c>
      <c r="I29" s="156">
        <v>3694.1290000000008</v>
      </c>
      <c r="J29" s="156">
        <v>73250.16899999998</v>
      </c>
      <c r="K29" s="158">
        <f t="shared" si="0"/>
        <v>78890.411752368993</v>
      </c>
      <c r="L29" s="42"/>
      <c r="M29" s="42"/>
      <c r="N29" s="42"/>
      <c r="O29" s="42"/>
      <c r="P29" s="42"/>
      <c r="Q29" s="42"/>
    </row>
    <row r="30" spans="1:17" ht="15" customHeight="1">
      <c r="A30" s="420"/>
      <c r="B30" s="424"/>
      <c r="C30" s="159" t="s">
        <v>25</v>
      </c>
      <c r="D30" s="160">
        <v>7956.0449999999983</v>
      </c>
      <c r="E30" s="161">
        <v>8155.0049999999992</v>
      </c>
      <c r="F30" s="161">
        <v>14942.8</v>
      </c>
      <c r="G30" s="162">
        <f t="shared" si="3"/>
        <v>31053.85</v>
      </c>
      <c r="H30" s="160">
        <v>87148.990370102008</v>
      </c>
      <c r="I30" s="161">
        <v>89039.71092601704</v>
      </c>
      <c r="J30" s="161">
        <v>164179.80273777098</v>
      </c>
      <c r="K30" s="163">
        <f t="shared" si="0"/>
        <v>340368.50403389003</v>
      </c>
      <c r="L30" s="42"/>
      <c r="M30" s="42"/>
      <c r="N30" s="42"/>
      <c r="O30" s="42"/>
      <c r="P30" s="42"/>
      <c r="Q30" s="42"/>
    </row>
    <row r="31" spans="1:17" ht="15" customHeight="1">
      <c r="A31" s="420"/>
      <c r="B31" s="423" t="s">
        <v>195</v>
      </c>
      <c r="C31" s="154" t="s">
        <v>28</v>
      </c>
      <c r="D31" s="155">
        <v>877.10199999999998</v>
      </c>
      <c r="E31" s="156">
        <v>1056.0520000000001</v>
      </c>
      <c r="F31" s="156">
        <v>1085.182</v>
      </c>
      <c r="G31" s="157">
        <f t="shared" si="3"/>
        <v>3018.3360000000002</v>
      </c>
      <c r="H31" s="155">
        <v>9227.8649999999998</v>
      </c>
      <c r="I31" s="156">
        <v>11032.529</v>
      </c>
      <c r="J31" s="156">
        <v>11432.885999999999</v>
      </c>
      <c r="K31" s="158">
        <f t="shared" si="0"/>
        <v>31693.279999999999</v>
      </c>
      <c r="L31" s="42"/>
      <c r="M31" s="42"/>
      <c r="N31" s="42"/>
      <c r="O31" s="42"/>
      <c r="P31" s="42"/>
      <c r="Q31" s="42"/>
    </row>
    <row r="32" spans="1:17" ht="15" customHeight="1">
      <c r="A32" s="420"/>
      <c r="B32" s="423"/>
      <c r="C32" s="154" t="s">
        <v>31</v>
      </c>
      <c r="D32" s="155">
        <v>0</v>
      </c>
      <c r="E32" s="156">
        <v>0</v>
      </c>
      <c r="F32" s="156">
        <v>12.366</v>
      </c>
      <c r="G32" s="157">
        <f t="shared" si="3"/>
        <v>12.366</v>
      </c>
      <c r="H32" s="155">
        <v>0</v>
      </c>
      <c r="I32" s="156">
        <v>0</v>
      </c>
      <c r="J32" s="156">
        <v>131.011</v>
      </c>
      <c r="K32" s="158">
        <f t="shared" si="0"/>
        <v>131.011</v>
      </c>
      <c r="L32" s="42"/>
      <c r="M32" s="42"/>
      <c r="N32" s="42"/>
      <c r="O32" s="42"/>
      <c r="P32" s="42"/>
      <c r="Q32" s="42"/>
    </row>
    <row r="33" spans="1:17" ht="15" customHeight="1">
      <c r="A33" s="420"/>
      <c r="B33" s="424"/>
      <c r="C33" s="159" t="s">
        <v>25</v>
      </c>
      <c r="D33" s="160">
        <v>877.10199999999998</v>
      </c>
      <c r="E33" s="161">
        <v>1056.0520000000001</v>
      </c>
      <c r="F33" s="161">
        <v>1097.548</v>
      </c>
      <c r="G33" s="162">
        <f t="shared" si="3"/>
        <v>3030.7020000000002</v>
      </c>
      <c r="H33" s="160">
        <v>9227.8649999999998</v>
      </c>
      <c r="I33" s="161">
        <v>11032.529</v>
      </c>
      <c r="J33" s="161">
        <v>11563.896999999999</v>
      </c>
      <c r="K33" s="163">
        <f t="shared" si="0"/>
        <v>31824.290999999997</v>
      </c>
      <c r="L33" s="42"/>
      <c r="M33" s="42"/>
      <c r="N33" s="42"/>
      <c r="O33" s="42"/>
      <c r="P33" s="42"/>
      <c r="Q33" s="42"/>
    </row>
    <row r="34" spans="1:17" ht="15" customHeight="1">
      <c r="A34" s="420"/>
      <c r="B34" s="423" t="s">
        <v>25</v>
      </c>
      <c r="C34" s="154" t="s">
        <v>28</v>
      </c>
      <c r="D34" s="155">
        <v>8670.4559999999983</v>
      </c>
      <c r="E34" s="156">
        <v>8890.0210000000006</v>
      </c>
      <c r="F34" s="156">
        <v>9436.7780000000021</v>
      </c>
      <c r="G34" s="157">
        <f t="shared" si="3"/>
        <v>26997.255000000001</v>
      </c>
      <c r="H34" s="155">
        <v>94430.741617733001</v>
      </c>
      <c r="I34" s="156">
        <v>96378.110926017034</v>
      </c>
      <c r="J34" s="156">
        <v>102362.519737771</v>
      </c>
      <c r="K34" s="158">
        <f t="shared" si="0"/>
        <v>293171.37228152103</v>
      </c>
      <c r="L34" s="42"/>
      <c r="M34" s="42"/>
      <c r="N34" s="42"/>
      <c r="O34" s="42"/>
      <c r="P34" s="42"/>
      <c r="Q34" s="42"/>
    </row>
    <row r="35" spans="1:17" ht="15" customHeight="1">
      <c r="A35" s="420"/>
      <c r="B35" s="423"/>
      <c r="C35" s="154" t="s">
        <v>31</v>
      </c>
      <c r="D35" s="155">
        <v>162.6909999999998</v>
      </c>
      <c r="E35" s="156">
        <v>321.03599999999938</v>
      </c>
      <c r="F35" s="156">
        <v>6603.5699999999988</v>
      </c>
      <c r="G35" s="157">
        <f t="shared" si="3"/>
        <v>7087.2969999999978</v>
      </c>
      <c r="H35" s="155">
        <v>1946.1137523690086</v>
      </c>
      <c r="I35" s="156">
        <v>3694.1290000000008</v>
      </c>
      <c r="J35" s="156">
        <v>73381.179999999978</v>
      </c>
      <c r="K35" s="158">
        <f t="shared" si="0"/>
        <v>79021.422752368991</v>
      </c>
      <c r="L35" s="42"/>
      <c r="M35" s="42"/>
      <c r="N35" s="42"/>
      <c r="O35" s="42"/>
      <c r="P35" s="42"/>
      <c r="Q35" s="42"/>
    </row>
    <row r="36" spans="1:17" ht="15" customHeight="1">
      <c r="A36" s="421"/>
      <c r="B36" s="424"/>
      <c r="C36" s="159" t="s">
        <v>25</v>
      </c>
      <c r="D36" s="160">
        <v>8833.1469999999972</v>
      </c>
      <c r="E36" s="161">
        <v>9211.0570000000007</v>
      </c>
      <c r="F36" s="161">
        <v>16040.348000000002</v>
      </c>
      <c r="G36" s="162">
        <f t="shared" si="3"/>
        <v>34084.551999999996</v>
      </c>
      <c r="H36" s="160">
        <v>96376.855370102014</v>
      </c>
      <c r="I36" s="161">
        <v>100072.23992601704</v>
      </c>
      <c r="J36" s="161">
        <v>175743.69973777098</v>
      </c>
      <c r="K36" s="163">
        <f t="shared" si="0"/>
        <v>372192.79503389006</v>
      </c>
      <c r="L36" s="42"/>
      <c r="M36" s="42"/>
      <c r="N36" s="42"/>
      <c r="O36" s="42"/>
      <c r="P36" s="42"/>
      <c r="Q36" s="42"/>
    </row>
    <row r="37" spans="1:17" ht="15" customHeight="1">
      <c r="A37" s="419" t="s">
        <v>64</v>
      </c>
      <c r="B37" s="422" t="s">
        <v>53</v>
      </c>
      <c r="C37" s="164" t="s">
        <v>66</v>
      </c>
      <c r="D37" s="165">
        <v>521281.50803451403</v>
      </c>
      <c r="E37" s="166">
        <v>794483.30053010187</v>
      </c>
      <c r="F37" s="166">
        <v>896669.34882866498</v>
      </c>
      <c r="G37" s="167">
        <f t="shared" si="3"/>
        <v>2212434.1573932809</v>
      </c>
      <c r="H37" s="165">
        <v>5708517.202796923</v>
      </c>
      <c r="I37" s="166">
        <v>8672038.6698730253</v>
      </c>
      <c r="J37" s="166">
        <v>9761933.1092479136</v>
      </c>
      <c r="K37" s="168">
        <f t="shared" si="0"/>
        <v>24142488.981917862</v>
      </c>
      <c r="L37" s="42"/>
      <c r="M37" s="42"/>
      <c r="N37" s="42"/>
      <c r="O37" s="42"/>
      <c r="P37" s="42"/>
      <c r="Q37" s="42"/>
    </row>
    <row r="38" spans="1:17" ht="15" customHeight="1">
      <c r="A38" s="420"/>
      <c r="B38" s="423"/>
      <c r="C38" s="154" t="s">
        <v>29</v>
      </c>
      <c r="D38" s="155">
        <v>5046.1822632439998</v>
      </c>
      <c r="E38" s="156">
        <v>9649.2446071619997</v>
      </c>
      <c r="F38" s="156">
        <v>12012.644161839999</v>
      </c>
      <c r="G38" s="157">
        <f t="shared" si="3"/>
        <v>26708.071032246</v>
      </c>
      <c r="H38" s="155">
        <v>55260.763719999995</v>
      </c>
      <c r="I38" s="156">
        <v>105326.93097999999</v>
      </c>
      <c r="J38" s="156">
        <v>130787.00586999999</v>
      </c>
      <c r="K38" s="158">
        <f t="shared" si="0"/>
        <v>291374.70056999999</v>
      </c>
      <c r="L38" s="42"/>
      <c r="M38" s="42"/>
      <c r="N38" s="42"/>
      <c r="O38" s="42"/>
      <c r="P38" s="42"/>
      <c r="Q38" s="42"/>
    </row>
    <row r="39" spans="1:17" ht="15" customHeight="1">
      <c r="A39" s="420"/>
      <c r="B39" s="424"/>
      <c r="C39" s="159" t="s">
        <v>25</v>
      </c>
      <c r="D39" s="160">
        <v>526327.69029775797</v>
      </c>
      <c r="E39" s="161">
        <v>804132.54513726383</v>
      </c>
      <c r="F39" s="161">
        <v>908681.99299050495</v>
      </c>
      <c r="G39" s="162">
        <f t="shared" si="3"/>
        <v>2239142.228425527</v>
      </c>
      <c r="H39" s="160">
        <v>5763777.9665169232</v>
      </c>
      <c r="I39" s="161">
        <v>8777365.6008530259</v>
      </c>
      <c r="J39" s="161">
        <v>9892720.1151179131</v>
      </c>
      <c r="K39" s="163">
        <f t="shared" si="0"/>
        <v>24433863.68248786</v>
      </c>
      <c r="L39" s="42"/>
      <c r="M39" s="42"/>
      <c r="N39" s="42"/>
      <c r="O39" s="42"/>
      <c r="P39" s="42"/>
      <c r="Q39" s="42"/>
    </row>
    <row r="40" spans="1:17" ht="15" customHeight="1">
      <c r="A40" s="420"/>
      <c r="B40" s="422" t="s">
        <v>309</v>
      </c>
      <c r="C40" s="164" t="s">
        <v>66</v>
      </c>
      <c r="D40" s="165">
        <v>877.10199999999998</v>
      </c>
      <c r="E40" s="166">
        <v>1056.0519999999999</v>
      </c>
      <c r="F40" s="166">
        <v>1085.1819999999998</v>
      </c>
      <c r="G40" s="167">
        <f t="shared" si="3"/>
        <v>3018.3359999999998</v>
      </c>
      <c r="H40" s="165">
        <v>9227.8649999999998</v>
      </c>
      <c r="I40" s="166">
        <v>11032.529</v>
      </c>
      <c r="J40" s="166">
        <v>11432.885999999999</v>
      </c>
      <c r="K40" s="168">
        <f t="shared" si="0"/>
        <v>31693.279999999999</v>
      </c>
      <c r="L40" s="42"/>
      <c r="M40" s="42"/>
      <c r="N40" s="42"/>
      <c r="O40" s="42"/>
      <c r="P40" s="42"/>
      <c r="Q40" s="42"/>
    </row>
    <row r="41" spans="1:17" ht="15" customHeight="1">
      <c r="A41" s="420"/>
      <c r="B41" s="423"/>
      <c r="C41" s="154" t="s">
        <v>29</v>
      </c>
      <c r="D41" s="155">
        <v>0</v>
      </c>
      <c r="E41" s="156">
        <v>0</v>
      </c>
      <c r="F41" s="156">
        <v>12.366</v>
      </c>
      <c r="G41" s="157">
        <f t="shared" si="3"/>
        <v>12.366</v>
      </c>
      <c r="H41" s="155">
        <v>0</v>
      </c>
      <c r="I41" s="156">
        <v>0</v>
      </c>
      <c r="J41" s="156">
        <v>131.011</v>
      </c>
      <c r="K41" s="158">
        <f t="shared" si="0"/>
        <v>131.011</v>
      </c>
      <c r="L41" s="42"/>
      <c r="M41" s="42"/>
      <c r="N41" s="42"/>
      <c r="O41" s="42"/>
      <c r="P41" s="42"/>
      <c r="Q41" s="42"/>
    </row>
    <row r="42" spans="1:17" ht="15" customHeight="1">
      <c r="A42" s="420"/>
      <c r="B42" s="424"/>
      <c r="C42" s="159" t="s">
        <v>25</v>
      </c>
      <c r="D42" s="160">
        <v>877.10199999999998</v>
      </c>
      <c r="E42" s="161">
        <v>1056.0519999999999</v>
      </c>
      <c r="F42" s="161">
        <v>1097.5479999999998</v>
      </c>
      <c r="G42" s="162">
        <f t="shared" si="3"/>
        <v>3030.7019999999998</v>
      </c>
      <c r="H42" s="160">
        <v>9227.8649999999998</v>
      </c>
      <c r="I42" s="161">
        <v>11032.529</v>
      </c>
      <c r="J42" s="161">
        <v>11563.896999999999</v>
      </c>
      <c r="K42" s="163">
        <f t="shared" si="0"/>
        <v>31824.290999999997</v>
      </c>
      <c r="L42" s="42"/>
      <c r="M42" s="42"/>
      <c r="N42" s="42"/>
      <c r="O42" s="42"/>
      <c r="P42" s="42"/>
      <c r="Q42" s="42"/>
    </row>
    <row r="43" spans="1:17" ht="15" customHeight="1">
      <c r="A43" s="420"/>
      <c r="B43" s="425" t="s">
        <v>85</v>
      </c>
      <c r="C43" s="425"/>
      <c r="D43" s="169">
        <v>162.6909999999998</v>
      </c>
      <c r="E43" s="170">
        <v>321.03599999999938</v>
      </c>
      <c r="F43" s="170">
        <v>6591.2039999999988</v>
      </c>
      <c r="G43" s="171">
        <f t="shared" si="3"/>
        <v>7074.9309999999978</v>
      </c>
      <c r="H43" s="169">
        <v>1946.1137523690086</v>
      </c>
      <c r="I43" s="170">
        <v>3694.1290000000008</v>
      </c>
      <c r="J43" s="170">
        <v>73250.16899999998</v>
      </c>
      <c r="K43" s="172">
        <f t="shared" si="0"/>
        <v>78890.411752368993</v>
      </c>
      <c r="L43" s="42"/>
      <c r="M43" s="42"/>
      <c r="N43" s="42"/>
      <c r="O43" s="42"/>
      <c r="P43" s="42"/>
      <c r="Q43" s="42"/>
    </row>
    <row r="44" spans="1:17" ht="15" customHeight="1">
      <c r="A44" s="420"/>
      <c r="B44" s="425" t="s">
        <v>84</v>
      </c>
      <c r="C44" s="425"/>
      <c r="D44" s="169">
        <v>27784.708999999999</v>
      </c>
      <c r="E44" s="170">
        <v>59922.865999999995</v>
      </c>
      <c r="F44" s="170">
        <v>32804.617000000006</v>
      </c>
      <c r="G44" s="171">
        <f t="shared" si="3"/>
        <v>120512.19200000001</v>
      </c>
      <c r="H44" s="169">
        <v>304317.7992699999</v>
      </c>
      <c r="I44" s="170">
        <v>654239.86316399986</v>
      </c>
      <c r="J44" s="170">
        <v>357490.95814999996</v>
      </c>
      <c r="K44" s="172">
        <f t="shared" si="0"/>
        <v>1316048.6205839999</v>
      </c>
      <c r="L44" s="42"/>
      <c r="M44" s="42"/>
      <c r="N44" s="42"/>
      <c r="O44" s="42"/>
      <c r="P44" s="42"/>
      <c r="Q44" s="42"/>
    </row>
    <row r="45" spans="1:17" ht="15" customHeight="1">
      <c r="A45" s="420"/>
      <c r="B45" s="423" t="s">
        <v>30</v>
      </c>
      <c r="C45" s="154" t="s">
        <v>66</v>
      </c>
      <c r="D45" s="155">
        <v>549943.31903451402</v>
      </c>
      <c r="E45" s="156">
        <v>855462.21853010193</v>
      </c>
      <c r="F45" s="156">
        <v>930559.14782866498</v>
      </c>
      <c r="G45" s="157">
        <f t="shared" si="3"/>
        <v>2335964.6853932808</v>
      </c>
      <c r="H45" s="155">
        <v>6022062.8670669235</v>
      </c>
      <c r="I45" s="156">
        <v>9337311.0620370246</v>
      </c>
      <c r="J45" s="156">
        <v>10130856.953397913</v>
      </c>
      <c r="K45" s="158">
        <f t="shared" si="0"/>
        <v>25490230.882501863</v>
      </c>
      <c r="L45" s="42"/>
      <c r="M45" s="42"/>
      <c r="N45" s="42"/>
      <c r="O45" s="42"/>
      <c r="P45" s="42"/>
      <c r="Q45" s="42"/>
    </row>
    <row r="46" spans="1:17" ht="15" customHeight="1">
      <c r="A46" s="420"/>
      <c r="B46" s="423"/>
      <c r="C46" s="154" t="s">
        <v>93</v>
      </c>
      <c r="D46" s="155">
        <v>5238.398593244</v>
      </c>
      <c r="E46" s="156">
        <v>10015.054617161999</v>
      </c>
      <c r="F46" s="156">
        <v>18684.499371839996</v>
      </c>
      <c r="G46" s="157">
        <f t="shared" si="3"/>
        <v>33937.952582245998</v>
      </c>
      <c r="H46" s="155">
        <v>57530.277567369005</v>
      </c>
      <c r="I46" s="156">
        <v>109509.824738</v>
      </c>
      <c r="J46" s="156">
        <v>204911.88010099996</v>
      </c>
      <c r="K46" s="158">
        <f t="shared" si="0"/>
        <v>371951.98240636894</v>
      </c>
      <c r="L46" s="42"/>
      <c r="M46" s="42"/>
      <c r="N46" s="42"/>
      <c r="O46" s="42"/>
      <c r="P46" s="42"/>
      <c r="Q46" s="42"/>
    </row>
    <row r="47" spans="1:17" ht="15" customHeight="1">
      <c r="A47" s="421"/>
      <c r="B47" s="424"/>
      <c r="C47" s="159" t="s">
        <v>25</v>
      </c>
      <c r="D47" s="160">
        <v>555181.71762775804</v>
      </c>
      <c r="E47" s="161">
        <v>865477.27314726391</v>
      </c>
      <c r="F47" s="161">
        <v>949243.64720050502</v>
      </c>
      <c r="G47" s="162">
        <f>SUM(D47:F47)</f>
        <v>2369902.637975527</v>
      </c>
      <c r="H47" s="160">
        <v>6079593.1446342925</v>
      </c>
      <c r="I47" s="161">
        <v>9446820.8867750242</v>
      </c>
      <c r="J47" s="161">
        <v>10335768.833498914</v>
      </c>
      <c r="K47" s="163">
        <f t="shared" si="0"/>
        <v>25862182.86490823</v>
      </c>
      <c r="L47" s="42"/>
      <c r="M47" s="42"/>
      <c r="N47" s="42"/>
      <c r="O47" s="42"/>
      <c r="P47" s="42"/>
      <c r="Q47" s="42"/>
    </row>
    <row r="48" spans="1:17" ht="1" customHeight="1">
      <c r="A48" s="151"/>
      <c r="B48" s="152"/>
      <c r="C48" s="173"/>
      <c r="D48" s="155"/>
      <c r="E48" s="156"/>
      <c r="F48" s="156"/>
      <c r="G48" s="157"/>
      <c r="H48" s="155"/>
      <c r="I48" s="156"/>
      <c r="J48" s="156"/>
      <c r="K48" s="158"/>
      <c r="L48" s="42"/>
      <c r="M48" s="42"/>
      <c r="N48" s="42"/>
      <c r="O48" s="42"/>
      <c r="P48" s="42"/>
      <c r="Q48" s="42"/>
    </row>
    <row r="49" spans="1:17" ht="1" customHeight="1">
      <c r="A49" s="151"/>
      <c r="B49" s="152"/>
      <c r="C49" s="173"/>
      <c r="D49" s="155"/>
      <c r="E49" s="156"/>
      <c r="F49" s="156"/>
      <c r="G49" s="157"/>
      <c r="H49" s="155"/>
      <c r="I49" s="156"/>
      <c r="J49" s="156"/>
      <c r="K49" s="158"/>
      <c r="L49" s="42"/>
      <c r="M49" s="42"/>
      <c r="N49" s="42"/>
      <c r="O49" s="42"/>
      <c r="P49" s="42"/>
      <c r="Q49" s="42"/>
    </row>
    <row r="50" spans="1:17" ht="1" customHeight="1">
      <c r="A50" s="151"/>
      <c r="B50" s="152"/>
      <c r="C50" s="173"/>
      <c r="D50" s="155"/>
      <c r="E50" s="156"/>
      <c r="F50" s="156"/>
      <c r="G50" s="157"/>
      <c r="H50" s="155"/>
      <c r="I50" s="156"/>
      <c r="J50" s="156"/>
      <c r="K50" s="158"/>
      <c r="L50" s="42"/>
      <c r="M50" s="42"/>
      <c r="N50" s="42"/>
      <c r="O50" s="42"/>
      <c r="P50" s="42"/>
      <c r="Q50" s="42"/>
    </row>
    <row r="51" spans="1:17" ht="15" customHeight="1">
      <c r="A51" s="418" t="s">
        <v>96</v>
      </c>
      <c r="B51" s="418"/>
      <c r="C51" s="418"/>
      <c r="D51" s="160">
        <v>742.81283574819099</v>
      </c>
      <c r="E51" s="161">
        <v>5377.9194640957285</v>
      </c>
      <c r="F51" s="161">
        <v>5887.8597699790262</v>
      </c>
      <c r="G51" s="162">
        <f t="shared" si="3"/>
        <v>12008.592069822946</v>
      </c>
      <c r="H51" s="160">
        <v>11994.289956108667</v>
      </c>
      <c r="I51" s="161">
        <v>62260.951796088368</v>
      </c>
      <c r="J51" s="161">
        <v>67976.190740743652</v>
      </c>
      <c r="K51" s="163">
        <f>SUM(H51:J51)</f>
        <v>142231.43249294069</v>
      </c>
      <c r="L51" s="42"/>
      <c r="M51" s="42"/>
      <c r="N51" s="42"/>
      <c r="O51" s="42"/>
      <c r="P51" s="42"/>
      <c r="Q51" s="42"/>
    </row>
    <row r="52" spans="1:17" ht="5.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M52" s="42"/>
    </row>
    <row r="53" spans="1:17">
      <c r="A53" s="426" t="s">
        <v>312</v>
      </c>
      <c r="B53" s="426"/>
      <c r="C53" s="426"/>
      <c r="D53" s="426"/>
      <c r="E53" s="426"/>
      <c r="F53" s="426"/>
      <c r="G53" s="426"/>
      <c r="H53" s="426"/>
      <c r="I53" s="426"/>
      <c r="J53" s="426"/>
      <c r="K53" s="426"/>
    </row>
    <row r="54" spans="1:17">
      <c r="A54" s="426"/>
      <c r="B54" s="426"/>
      <c r="C54" s="426"/>
      <c r="D54" s="426"/>
      <c r="E54" s="426"/>
      <c r="F54" s="426"/>
      <c r="G54" s="426"/>
      <c r="H54" s="426"/>
      <c r="I54" s="426"/>
      <c r="J54" s="426"/>
      <c r="K54" s="426"/>
    </row>
    <row r="55" spans="1:17">
      <c r="A55" s="426"/>
      <c r="B55" s="426"/>
      <c r="C55" s="426"/>
      <c r="D55" s="426"/>
      <c r="E55" s="426"/>
      <c r="F55" s="426"/>
      <c r="G55" s="426"/>
      <c r="H55" s="426"/>
      <c r="I55" s="426"/>
      <c r="J55" s="426"/>
      <c r="K55" s="426"/>
    </row>
    <row r="56" spans="1:17">
      <c r="A56" s="426"/>
      <c r="B56" s="426"/>
      <c r="C56" s="426"/>
      <c r="D56" s="426"/>
      <c r="E56" s="426"/>
      <c r="F56" s="426"/>
      <c r="G56" s="426"/>
      <c r="H56" s="426"/>
      <c r="I56" s="426"/>
      <c r="J56" s="426"/>
      <c r="K56" s="426"/>
    </row>
  </sheetData>
  <mergeCells count="25">
    <mergeCell ref="A53:K56"/>
    <mergeCell ref="A2:K2"/>
    <mergeCell ref="D3:K3"/>
    <mergeCell ref="D4:G4"/>
    <mergeCell ref="H4:K4"/>
    <mergeCell ref="B6:B8"/>
    <mergeCell ref="B9:B11"/>
    <mergeCell ref="B12:B14"/>
    <mergeCell ref="A6:A14"/>
    <mergeCell ref="B15:B18"/>
    <mergeCell ref="B19:B22"/>
    <mergeCell ref="B23:B26"/>
    <mergeCell ref="A15:A27"/>
    <mergeCell ref="B27:C27"/>
    <mergeCell ref="B45:B47"/>
    <mergeCell ref="A37:A47"/>
    <mergeCell ref="A51:C51"/>
    <mergeCell ref="A28:A36"/>
    <mergeCell ref="B28:B30"/>
    <mergeCell ref="B31:B33"/>
    <mergeCell ref="B34:B36"/>
    <mergeCell ref="B37:B39"/>
    <mergeCell ref="B40:B42"/>
    <mergeCell ref="B43:C43"/>
    <mergeCell ref="B44:C4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  <ignoredErrors>
    <ignoredError sqref="G27 K27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W43"/>
  <sheetViews>
    <sheetView showGridLines="0" topLeftCell="A4" zoomScaleNormal="100" zoomScaleSheetLayoutView="100" workbookViewId="0">
      <selection activeCell="D1" sqref="D1"/>
    </sheetView>
  </sheetViews>
  <sheetFormatPr defaultRowHeight="10"/>
  <cols>
    <col min="1" max="1" width="8.26953125" style="12" customWidth="1"/>
    <col min="2" max="7" width="7.26953125" style="12" customWidth="1"/>
    <col min="8" max="8" width="6.7265625" style="12" customWidth="1"/>
    <col min="9" max="10" width="8.26953125" style="12" customWidth="1"/>
    <col min="11" max="11" width="8" style="12" customWidth="1"/>
    <col min="12" max="12" width="7.7265625" style="12" customWidth="1"/>
    <col min="13" max="16" width="7.453125" style="12" customWidth="1"/>
    <col min="17" max="17" width="6.7265625" style="12" customWidth="1"/>
    <col min="18" max="18" width="8.26953125" style="12" customWidth="1"/>
    <col min="19" max="19" width="8.1796875" style="12" customWidth="1"/>
    <col min="20" max="20" width="9.26953125" style="12" bestFit="1" customWidth="1"/>
    <col min="21" max="21" width="11.453125" style="12" bestFit="1" customWidth="1"/>
    <col min="22" max="260" width="9.1796875" style="12"/>
    <col min="261" max="273" width="10.7265625" style="12" customWidth="1"/>
    <col min="274" max="516" width="9.1796875" style="12"/>
    <col min="517" max="529" width="10.7265625" style="12" customWidth="1"/>
    <col min="530" max="772" width="9.1796875" style="12"/>
    <col min="773" max="785" width="10.7265625" style="12" customWidth="1"/>
    <col min="786" max="1028" width="9.1796875" style="12"/>
    <col min="1029" max="1041" width="10.7265625" style="12" customWidth="1"/>
    <col min="1042" max="1284" width="9.1796875" style="12"/>
    <col min="1285" max="1297" width="10.7265625" style="12" customWidth="1"/>
    <col min="1298" max="1540" width="9.1796875" style="12"/>
    <col min="1541" max="1553" width="10.7265625" style="12" customWidth="1"/>
    <col min="1554" max="1796" width="9.1796875" style="12"/>
    <col min="1797" max="1809" width="10.7265625" style="12" customWidth="1"/>
    <col min="1810" max="2052" width="9.1796875" style="12"/>
    <col min="2053" max="2065" width="10.7265625" style="12" customWidth="1"/>
    <col min="2066" max="2308" width="9.1796875" style="12"/>
    <col min="2309" max="2321" width="10.7265625" style="12" customWidth="1"/>
    <col min="2322" max="2564" width="9.1796875" style="12"/>
    <col min="2565" max="2577" width="10.7265625" style="12" customWidth="1"/>
    <col min="2578" max="2820" width="9.1796875" style="12"/>
    <col min="2821" max="2833" width="10.7265625" style="12" customWidth="1"/>
    <col min="2834" max="3076" width="9.1796875" style="12"/>
    <col min="3077" max="3089" width="10.7265625" style="12" customWidth="1"/>
    <col min="3090" max="3332" width="9.1796875" style="12"/>
    <col min="3333" max="3345" width="10.7265625" style="12" customWidth="1"/>
    <col min="3346" max="3588" width="9.1796875" style="12"/>
    <col min="3589" max="3601" width="10.7265625" style="12" customWidth="1"/>
    <col min="3602" max="3844" width="9.1796875" style="12"/>
    <col min="3845" max="3857" width="10.7265625" style="12" customWidth="1"/>
    <col min="3858" max="4100" width="9.1796875" style="12"/>
    <col min="4101" max="4113" width="10.7265625" style="12" customWidth="1"/>
    <col min="4114" max="4356" width="9.1796875" style="12"/>
    <col min="4357" max="4369" width="10.7265625" style="12" customWidth="1"/>
    <col min="4370" max="4612" width="9.1796875" style="12"/>
    <col min="4613" max="4625" width="10.7265625" style="12" customWidth="1"/>
    <col min="4626" max="4868" width="9.1796875" style="12"/>
    <col min="4869" max="4881" width="10.7265625" style="12" customWidth="1"/>
    <col min="4882" max="5124" width="9.1796875" style="12"/>
    <col min="5125" max="5137" width="10.7265625" style="12" customWidth="1"/>
    <col min="5138" max="5380" width="9.1796875" style="12"/>
    <col min="5381" max="5393" width="10.7265625" style="12" customWidth="1"/>
    <col min="5394" max="5636" width="9.1796875" style="12"/>
    <col min="5637" max="5649" width="10.7265625" style="12" customWidth="1"/>
    <col min="5650" max="5892" width="9.1796875" style="12"/>
    <col min="5893" max="5905" width="10.7265625" style="12" customWidth="1"/>
    <col min="5906" max="6148" width="9.1796875" style="12"/>
    <col min="6149" max="6161" width="10.7265625" style="12" customWidth="1"/>
    <col min="6162" max="6404" width="9.1796875" style="12"/>
    <col min="6405" max="6417" width="10.7265625" style="12" customWidth="1"/>
    <col min="6418" max="6660" width="9.1796875" style="12"/>
    <col min="6661" max="6673" width="10.7265625" style="12" customWidth="1"/>
    <col min="6674" max="6916" width="9.1796875" style="12"/>
    <col min="6917" max="6929" width="10.7265625" style="12" customWidth="1"/>
    <col min="6930" max="7172" width="9.1796875" style="12"/>
    <col min="7173" max="7185" width="10.7265625" style="12" customWidth="1"/>
    <col min="7186" max="7428" width="9.1796875" style="12"/>
    <col min="7429" max="7441" width="10.7265625" style="12" customWidth="1"/>
    <col min="7442" max="7684" width="9.1796875" style="12"/>
    <col min="7685" max="7697" width="10.7265625" style="12" customWidth="1"/>
    <col min="7698" max="7940" width="9.1796875" style="12"/>
    <col min="7941" max="7953" width="10.7265625" style="12" customWidth="1"/>
    <col min="7954" max="8196" width="9.1796875" style="12"/>
    <col min="8197" max="8209" width="10.7265625" style="12" customWidth="1"/>
    <col min="8210" max="8452" width="9.1796875" style="12"/>
    <col min="8453" max="8465" width="10.7265625" style="12" customWidth="1"/>
    <col min="8466" max="8708" width="9.1796875" style="12"/>
    <col min="8709" max="8721" width="10.7265625" style="12" customWidth="1"/>
    <col min="8722" max="8964" width="9.1796875" style="12"/>
    <col min="8965" max="8977" width="10.7265625" style="12" customWidth="1"/>
    <col min="8978" max="9220" width="9.1796875" style="12"/>
    <col min="9221" max="9233" width="10.7265625" style="12" customWidth="1"/>
    <col min="9234" max="9476" width="9.1796875" style="12"/>
    <col min="9477" max="9489" width="10.7265625" style="12" customWidth="1"/>
    <col min="9490" max="9732" width="9.1796875" style="12"/>
    <col min="9733" max="9745" width="10.7265625" style="12" customWidth="1"/>
    <col min="9746" max="9988" width="9.1796875" style="12"/>
    <col min="9989" max="10001" width="10.7265625" style="12" customWidth="1"/>
    <col min="10002" max="10244" width="9.1796875" style="12"/>
    <col min="10245" max="10257" width="10.7265625" style="12" customWidth="1"/>
    <col min="10258" max="10500" width="9.1796875" style="12"/>
    <col min="10501" max="10513" width="10.7265625" style="12" customWidth="1"/>
    <col min="10514" max="10756" width="9.1796875" style="12"/>
    <col min="10757" max="10769" width="10.7265625" style="12" customWidth="1"/>
    <col min="10770" max="11012" width="9.1796875" style="12"/>
    <col min="11013" max="11025" width="10.7265625" style="12" customWidth="1"/>
    <col min="11026" max="11268" width="9.1796875" style="12"/>
    <col min="11269" max="11281" width="10.7265625" style="12" customWidth="1"/>
    <col min="11282" max="11524" width="9.1796875" style="12"/>
    <col min="11525" max="11537" width="10.7265625" style="12" customWidth="1"/>
    <col min="11538" max="11780" width="9.1796875" style="12"/>
    <col min="11781" max="11793" width="10.7265625" style="12" customWidth="1"/>
    <col min="11794" max="12036" width="9.1796875" style="12"/>
    <col min="12037" max="12049" width="10.7265625" style="12" customWidth="1"/>
    <col min="12050" max="12292" width="9.1796875" style="12"/>
    <col min="12293" max="12305" width="10.7265625" style="12" customWidth="1"/>
    <col min="12306" max="12548" width="9.1796875" style="12"/>
    <col min="12549" max="12561" width="10.7265625" style="12" customWidth="1"/>
    <col min="12562" max="12804" width="9.1796875" style="12"/>
    <col min="12805" max="12817" width="10.7265625" style="12" customWidth="1"/>
    <col min="12818" max="13060" width="9.1796875" style="12"/>
    <col min="13061" max="13073" width="10.7265625" style="12" customWidth="1"/>
    <col min="13074" max="13316" width="9.1796875" style="12"/>
    <col min="13317" max="13329" width="10.7265625" style="12" customWidth="1"/>
    <col min="13330" max="13572" width="9.1796875" style="12"/>
    <col min="13573" max="13585" width="10.7265625" style="12" customWidth="1"/>
    <col min="13586" max="13828" width="9.1796875" style="12"/>
    <col min="13829" max="13841" width="10.7265625" style="12" customWidth="1"/>
    <col min="13842" max="14084" width="9.1796875" style="12"/>
    <col min="14085" max="14097" width="10.7265625" style="12" customWidth="1"/>
    <col min="14098" max="14340" width="9.1796875" style="12"/>
    <col min="14341" max="14353" width="10.7265625" style="12" customWidth="1"/>
    <col min="14354" max="14596" width="9.1796875" style="12"/>
    <col min="14597" max="14609" width="10.7265625" style="12" customWidth="1"/>
    <col min="14610" max="14852" width="9.1796875" style="12"/>
    <col min="14853" max="14865" width="10.7265625" style="12" customWidth="1"/>
    <col min="14866" max="15108" width="9.1796875" style="12"/>
    <col min="15109" max="15121" width="10.7265625" style="12" customWidth="1"/>
    <col min="15122" max="15364" width="9.1796875" style="12"/>
    <col min="15365" max="15377" width="10.7265625" style="12" customWidth="1"/>
    <col min="15378" max="15620" width="9.1796875" style="12"/>
    <col min="15621" max="15633" width="10.7265625" style="12" customWidth="1"/>
    <col min="15634" max="15876" width="9.1796875" style="12"/>
    <col min="15877" max="15889" width="10.7265625" style="12" customWidth="1"/>
    <col min="15890" max="16132" width="9.1796875" style="12"/>
    <col min="16133" max="16145" width="10.7265625" style="12" customWidth="1"/>
    <col min="16146" max="16384" width="9.1796875" style="12"/>
  </cols>
  <sheetData>
    <row r="1" spans="1:23" ht="18">
      <c r="A1" s="441" t="s">
        <v>289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3" ht="6" customHeight="1">
      <c r="A2" s="175"/>
      <c r="B2" s="439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</row>
    <row r="3" spans="1:23" ht="16" customHeight="1">
      <c r="A3" s="205">
        <f>'3.1'!A4</f>
        <v>2024</v>
      </c>
      <c r="B3" s="447" t="s">
        <v>256</v>
      </c>
      <c r="C3" s="448"/>
      <c r="D3" s="448"/>
      <c r="E3" s="448"/>
      <c r="F3" s="448"/>
      <c r="G3" s="448"/>
      <c r="H3" s="448"/>
      <c r="I3" s="448"/>
      <c r="J3" s="449"/>
      <c r="K3" s="448" t="s">
        <v>214</v>
      </c>
      <c r="L3" s="448"/>
      <c r="M3" s="448"/>
      <c r="N3" s="448"/>
      <c r="O3" s="448"/>
      <c r="P3" s="448"/>
      <c r="Q3" s="448"/>
      <c r="R3" s="448"/>
      <c r="S3" s="448"/>
    </row>
    <row r="4" spans="1:23" ht="34.5" customHeight="1">
      <c r="A4" s="191"/>
      <c r="B4" s="436" t="s">
        <v>191</v>
      </c>
      <c r="C4" s="437"/>
      <c r="D4" s="437"/>
      <c r="E4" s="436" t="s">
        <v>192</v>
      </c>
      <c r="F4" s="437"/>
      <c r="G4" s="442"/>
      <c r="H4" s="443" t="s">
        <v>243</v>
      </c>
      <c r="I4" s="443" t="s">
        <v>188</v>
      </c>
      <c r="J4" s="445" t="s">
        <v>64</v>
      </c>
      <c r="K4" s="436" t="s">
        <v>191</v>
      </c>
      <c r="L4" s="437"/>
      <c r="M4" s="437"/>
      <c r="N4" s="436" t="s">
        <v>192</v>
      </c>
      <c r="O4" s="437"/>
      <c r="P4" s="442"/>
      <c r="Q4" s="443" t="s">
        <v>243</v>
      </c>
      <c r="R4" s="443" t="s">
        <v>188</v>
      </c>
      <c r="S4" s="443" t="s">
        <v>64</v>
      </c>
    </row>
    <row r="5" spans="1:23" ht="21">
      <c r="A5" s="192"/>
      <c r="B5" s="193" t="s">
        <v>21</v>
      </c>
      <c r="C5" s="194" t="s">
        <v>22</v>
      </c>
      <c r="D5" s="194" t="s">
        <v>190</v>
      </c>
      <c r="E5" s="193" t="s">
        <v>26</v>
      </c>
      <c r="F5" s="194" t="s">
        <v>27</v>
      </c>
      <c r="G5" s="195" t="s">
        <v>189</v>
      </c>
      <c r="H5" s="444"/>
      <c r="I5" s="444"/>
      <c r="J5" s="446"/>
      <c r="K5" s="194" t="s">
        <v>21</v>
      </c>
      <c r="L5" s="194" t="s">
        <v>22</v>
      </c>
      <c r="M5" s="194" t="s">
        <v>190</v>
      </c>
      <c r="N5" s="193" t="s">
        <v>26</v>
      </c>
      <c r="O5" s="194" t="s">
        <v>27</v>
      </c>
      <c r="P5" s="195" t="s">
        <v>189</v>
      </c>
      <c r="Q5" s="444"/>
      <c r="R5" s="444"/>
      <c r="S5" s="444"/>
    </row>
    <row r="6" spans="1:23" ht="12" customHeight="1">
      <c r="A6" s="176" t="s">
        <v>159</v>
      </c>
      <c r="B6" s="183">
        <v>463.02032292276868</v>
      </c>
      <c r="C6" s="177">
        <v>20.941328995270386</v>
      </c>
      <c r="D6" s="178">
        <v>442.07899392749829</v>
      </c>
      <c r="E6" s="189">
        <v>596.49069199999997</v>
      </c>
      <c r="F6" s="178">
        <v>1.8698680000000001</v>
      </c>
      <c r="G6" s="185">
        <v>594.62082399999997</v>
      </c>
      <c r="H6" s="178">
        <v>9.0369460541510023</v>
      </c>
      <c r="I6" s="178">
        <v>6.1142623053543499</v>
      </c>
      <c r="J6" s="185">
        <v>1051.8510262870036</v>
      </c>
      <c r="K6" s="177">
        <v>5046.1537347950007</v>
      </c>
      <c r="L6" s="177">
        <v>227.5953961221</v>
      </c>
      <c r="M6" s="178">
        <v>4818.5583386729004</v>
      </c>
      <c r="N6" s="189">
        <v>6493.0057989999996</v>
      </c>
      <c r="O6" s="178">
        <v>20.361215233000003</v>
      </c>
      <c r="P6" s="185">
        <v>6472.6445837669999</v>
      </c>
      <c r="Q6" s="178">
        <v>98.972132203443692</v>
      </c>
      <c r="R6" s="178">
        <v>72.560651848267767</v>
      </c>
      <c r="S6" s="178">
        <v>11462.735706491612</v>
      </c>
      <c r="T6" s="56"/>
      <c r="U6" s="57"/>
      <c r="V6" s="57"/>
      <c r="W6" s="57"/>
    </row>
    <row r="7" spans="1:23" ht="12" customHeight="1">
      <c r="A7" s="176" t="s">
        <v>160</v>
      </c>
      <c r="B7" s="183">
        <v>557.94659742511897</v>
      </c>
      <c r="C7" s="178">
        <v>0.11417086195799998</v>
      </c>
      <c r="D7" s="178">
        <v>557.83242656316099</v>
      </c>
      <c r="E7" s="189">
        <v>151.33870099999996</v>
      </c>
      <c r="F7" s="178">
        <v>11.740470000000002</v>
      </c>
      <c r="G7" s="185">
        <v>139.59823099999994</v>
      </c>
      <c r="H7" s="178">
        <v>8.7491809999999983</v>
      </c>
      <c r="I7" s="178">
        <v>1.7648784392439993</v>
      </c>
      <c r="J7" s="185">
        <v>707.94471700240513</v>
      </c>
      <c r="K7" s="177">
        <v>6082.6016761869996</v>
      </c>
      <c r="L7" s="178">
        <v>1.2468095966000001</v>
      </c>
      <c r="M7" s="178">
        <v>6081.3548665904</v>
      </c>
      <c r="N7" s="189">
        <v>1637.0942769999999</v>
      </c>
      <c r="O7" s="178">
        <v>127.84849766799999</v>
      </c>
      <c r="P7" s="185">
        <v>1509.245779332</v>
      </c>
      <c r="Q7" s="178">
        <v>95.800112470664999</v>
      </c>
      <c r="R7" s="178">
        <v>24.729333563053981</v>
      </c>
      <c r="S7" s="178">
        <v>7711.1300919561181</v>
      </c>
      <c r="T7" s="58"/>
      <c r="U7" s="57"/>
      <c r="V7" s="57"/>
      <c r="W7" s="57"/>
    </row>
    <row r="8" spans="1:23" ht="12" customHeight="1">
      <c r="A8" s="179" t="s">
        <v>161</v>
      </c>
      <c r="B8" s="184">
        <v>337.52630422264463</v>
      </c>
      <c r="C8" s="181">
        <v>3.5326223853076072E-2</v>
      </c>
      <c r="D8" s="181">
        <v>337.49097799879155</v>
      </c>
      <c r="E8" s="190">
        <v>324.18707200000006</v>
      </c>
      <c r="F8" s="181">
        <v>8.933484</v>
      </c>
      <c r="G8" s="186">
        <v>315.25358800000004</v>
      </c>
      <c r="H8" s="181">
        <v>9.3997880000000009</v>
      </c>
      <c r="I8" s="181">
        <v>-7.1408090317127062</v>
      </c>
      <c r="J8" s="186">
        <v>655.00354496707871</v>
      </c>
      <c r="K8" s="180">
        <v>3692.3732853760002</v>
      </c>
      <c r="L8" s="181">
        <v>0.38449241359999997</v>
      </c>
      <c r="M8" s="181">
        <v>3691.9887929624001</v>
      </c>
      <c r="N8" s="190">
        <v>3509.1716139999999</v>
      </c>
      <c r="O8" s="181">
        <v>96.775745102999991</v>
      </c>
      <c r="P8" s="186">
        <v>3412.3958688969997</v>
      </c>
      <c r="Q8" s="181">
        <v>103.00945513435973</v>
      </c>
      <c r="R8" s="181">
        <v>-82.27718485964462</v>
      </c>
      <c r="S8" s="181">
        <v>7125.1169321341158</v>
      </c>
      <c r="T8" s="59"/>
      <c r="U8" s="57"/>
      <c r="V8" s="57"/>
      <c r="W8" s="57"/>
    </row>
    <row r="9" spans="1:23" ht="12" customHeight="1">
      <c r="A9" s="176" t="s">
        <v>162</v>
      </c>
      <c r="B9" s="183">
        <v>343.16157323516302</v>
      </c>
      <c r="C9" s="178">
        <v>12.04427035282</v>
      </c>
      <c r="D9" s="178">
        <v>331.11730288234304</v>
      </c>
      <c r="E9" s="189">
        <v>199.63674499999999</v>
      </c>
      <c r="F9" s="178">
        <v>72.840921000000009</v>
      </c>
      <c r="G9" s="185">
        <v>126.79582399999998</v>
      </c>
      <c r="H9" s="178">
        <v>8.7509529999999991</v>
      </c>
      <c r="I9" s="178">
        <v>8.1330149209599476</v>
      </c>
      <c r="J9" s="185">
        <v>474.79709480330291</v>
      </c>
      <c r="K9" s="177">
        <v>3755.7714816659995</v>
      </c>
      <c r="L9" s="178">
        <v>131.603423604</v>
      </c>
      <c r="M9" s="178">
        <v>3624.1680580619995</v>
      </c>
      <c r="N9" s="189">
        <v>2159.6796800000002</v>
      </c>
      <c r="O9" s="178">
        <v>795.82318448599995</v>
      </c>
      <c r="P9" s="185">
        <v>1363.8564955140002</v>
      </c>
      <c r="Q9" s="178">
        <v>96.089462485699968</v>
      </c>
      <c r="R9" s="178">
        <v>87.92359983534925</v>
      </c>
      <c r="S9" s="178">
        <v>5172.0376158970494</v>
      </c>
      <c r="T9" s="58"/>
      <c r="U9" s="57"/>
      <c r="V9" s="57"/>
      <c r="W9" s="57"/>
    </row>
    <row r="10" spans="1:23" ht="12" customHeight="1">
      <c r="A10" s="176" t="s">
        <v>163</v>
      </c>
      <c r="B10" s="183">
        <v>639.993582051462</v>
      </c>
      <c r="C10" s="178">
        <v>1.248665445461</v>
      </c>
      <c r="D10" s="178">
        <v>638.74491660600097</v>
      </c>
      <c r="E10" s="189">
        <v>0</v>
      </c>
      <c r="F10" s="178">
        <v>327.108564</v>
      </c>
      <c r="G10" s="185">
        <v>-327.108564</v>
      </c>
      <c r="H10" s="178">
        <v>9.4232510000000005</v>
      </c>
      <c r="I10" s="178">
        <v>5.5699126963650345</v>
      </c>
      <c r="J10" s="185">
        <v>326.62951630236597</v>
      </c>
      <c r="K10" s="177">
        <v>7017.2902382039993</v>
      </c>
      <c r="L10" s="178">
        <v>13.687940615800001</v>
      </c>
      <c r="M10" s="178">
        <v>7003.6022975881997</v>
      </c>
      <c r="N10" s="189">
        <v>0</v>
      </c>
      <c r="O10" s="178">
        <v>3589.94398688</v>
      </c>
      <c r="P10" s="185">
        <v>-3589.94398688</v>
      </c>
      <c r="Q10" s="178">
        <v>103.14071929369116</v>
      </c>
      <c r="R10" s="178">
        <v>58.275455448776484</v>
      </c>
      <c r="S10" s="178">
        <v>3575.074485450667</v>
      </c>
      <c r="T10" s="58"/>
      <c r="U10" s="57"/>
      <c r="V10" s="57"/>
      <c r="W10" s="57"/>
    </row>
    <row r="11" spans="1:23" ht="12" customHeight="1">
      <c r="A11" s="179" t="s">
        <v>164</v>
      </c>
      <c r="B11" s="184">
        <v>792.75175263001393</v>
      </c>
      <c r="C11" s="181">
        <v>4.2779507035090001</v>
      </c>
      <c r="D11" s="181">
        <v>788.47380192650496</v>
      </c>
      <c r="E11" s="190">
        <v>2.1972910000000003</v>
      </c>
      <c r="F11" s="181">
        <v>499.66164119999996</v>
      </c>
      <c r="G11" s="186">
        <v>-497.46435019999996</v>
      </c>
      <c r="H11" s="181">
        <v>8.4124780000000001</v>
      </c>
      <c r="I11" s="181">
        <v>-5.3392743650369816</v>
      </c>
      <c r="J11" s="186">
        <v>294.08265536146797</v>
      </c>
      <c r="K11" s="180">
        <v>8635.998050655</v>
      </c>
      <c r="L11" s="181">
        <v>46.871630725800003</v>
      </c>
      <c r="M11" s="181">
        <v>8589.1264199292</v>
      </c>
      <c r="N11" s="190">
        <v>23.866716</v>
      </c>
      <c r="O11" s="181">
        <v>5461.5825376880002</v>
      </c>
      <c r="P11" s="186">
        <v>-5437.7158216879998</v>
      </c>
      <c r="Q11" s="181">
        <v>91.783880332700988</v>
      </c>
      <c r="R11" s="181">
        <v>-32.15936368206097</v>
      </c>
      <c r="S11" s="181">
        <v>3211.0351148918407</v>
      </c>
      <c r="T11" s="58"/>
      <c r="U11" s="57"/>
      <c r="V11" s="57"/>
      <c r="W11" s="57"/>
    </row>
    <row r="12" spans="1:23" ht="12" customHeight="1">
      <c r="A12" s="176" t="s">
        <v>165</v>
      </c>
      <c r="B12" s="183">
        <v>585.17322256407306</v>
      </c>
      <c r="C12" s="178">
        <v>110.59800354830098</v>
      </c>
      <c r="D12" s="178">
        <v>474.57521901577206</v>
      </c>
      <c r="E12" s="189">
        <v>9.4799999999999995E-4</v>
      </c>
      <c r="F12" s="178">
        <v>219.562783</v>
      </c>
      <c r="G12" s="185">
        <v>-219.561835</v>
      </c>
      <c r="H12" s="178">
        <v>9.1615520000000004</v>
      </c>
      <c r="I12" s="178">
        <v>5.6834888999249085</v>
      </c>
      <c r="J12" s="185">
        <v>269.85842491569696</v>
      </c>
      <c r="K12" s="177">
        <v>6382.0223577499992</v>
      </c>
      <c r="L12" s="178">
        <v>1205.6711728932</v>
      </c>
      <c r="M12" s="178">
        <v>5176.3511848567996</v>
      </c>
      <c r="N12" s="189">
        <v>1.0437E-2</v>
      </c>
      <c r="O12" s="178">
        <v>2397.9601928380002</v>
      </c>
      <c r="P12" s="185">
        <v>-2397.9497558380003</v>
      </c>
      <c r="Q12" s="178">
        <v>100.634036689615</v>
      </c>
      <c r="R12" s="178">
        <v>66.60521633232338</v>
      </c>
      <c r="S12" s="178">
        <v>2945.6406820407374</v>
      </c>
      <c r="T12" s="58"/>
      <c r="U12" s="57"/>
      <c r="V12" s="57"/>
      <c r="W12" s="57"/>
    </row>
    <row r="13" spans="1:23" ht="12" customHeight="1">
      <c r="A13" s="176" t="s">
        <v>166</v>
      </c>
      <c r="B13" s="183">
        <v>574.64363606460302</v>
      </c>
      <c r="C13" s="178">
        <v>30.046023427961998</v>
      </c>
      <c r="D13" s="178">
        <v>544.59761263664097</v>
      </c>
      <c r="E13" s="189">
        <v>0</v>
      </c>
      <c r="F13" s="178">
        <v>274.06606699999998</v>
      </c>
      <c r="G13" s="185">
        <v>-274.06606699999998</v>
      </c>
      <c r="H13" s="178">
        <v>8.511312000000002</v>
      </c>
      <c r="I13" s="178">
        <v>1.1094192346840281</v>
      </c>
      <c r="J13" s="185">
        <v>280.15227687132506</v>
      </c>
      <c r="K13" s="177">
        <v>6285.0534367500004</v>
      </c>
      <c r="L13" s="178">
        <v>327.83027930769998</v>
      </c>
      <c r="M13" s="178">
        <v>5957.2231574423004</v>
      </c>
      <c r="N13" s="189">
        <v>0</v>
      </c>
      <c r="O13" s="178">
        <v>2995.3866445949998</v>
      </c>
      <c r="P13" s="185">
        <v>-2995.3866445949998</v>
      </c>
      <c r="Q13" s="178">
        <v>93.485740492936017</v>
      </c>
      <c r="R13" s="178">
        <v>5.9680265877703205</v>
      </c>
      <c r="S13" s="178">
        <v>3061.2902799280073</v>
      </c>
      <c r="T13" s="58"/>
      <c r="U13" s="57"/>
      <c r="V13" s="57"/>
      <c r="W13" s="57"/>
    </row>
    <row r="14" spans="1:23" ht="12" customHeight="1">
      <c r="A14" s="179" t="s">
        <v>167</v>
      </c>
      <c r="B14" s="184">
        <v>426.30177228467801</v>
      </c>
      <c r="C14" s="181">
        <v>13.897532460209</v>
      </c>
      <c r="D14" s="181">
        <v>412.40423982446902</v>
      </c>
      <c r="E14" s="190">
        <v>3.4320000000000002E-3</v>
      </c>
      <c r="F14" s="181">
        <v>91.407771999999994</v>
      </c>
      <c r="G14" s="186">
        <v>-91.404339999999991</v>
      </c>
      <c r="H14" s="181">
        <v>8.4259079999999997</v>
      </c>
      <c r="I14" s="181">
        <v>7.1186436136459816</v>
      </c>
      <c r="J14" s="186">
        <v>336.544451438115</v>
      </c>
      <c r="K14" s="180">
        <v>4660.6999153140005</v>
      </c>
      <c r="L14" s="181">
        <v>151.9995063831</v>
      </c>
      <c r="M14" s="181">
        <v>4508.7004089309003</v>
      </c>
      <c r="N14" s="190">
        <v>3.7576999999999999E-2</v>
      </c>
      <c r="O14" s="181">
        <v>1002.380017578</v>
      </c>
      <c r="P14" s="186">
        <v>-1002.3424405779999</v>
      </c>
      <c r="Q14" s="181">
        <v>92.117513488714991</v>
      </c>
      <c r="R14" s="181">
        <v>84.761037604394375</v>
      </c>
      <c r="S14" s="181">
        <v>3683.2365194460094</v>
      </c>
      <c r="T14" s="58"/>
      <c r="U14" s="57"/>
      <c r="V14" s="57"/>
      <c r="W14" s="57"/>
    </row>
    <row r="15" spans="1:23" ht="12" customHeight="1">
      <c r="A15" s="176" t="s">
        <v>168</v>
      </c>
      <c r="B15" s="183">
        <v>507.40874569777094</v>
      </c>
      <c r="C15" s="178">
        <v>14.184419905761001</v>
      </c>
      <c r="D15" s="178">
        <v>493.22432579200995</v>
      </c>
      <c r="E15" s="189">
        <v>101.78948199999999</v>
      </c>
      <c r="F15" s="178">
        <v>49.408050000000003</v>
      </c>
      <c r="G15" s="185">
        <v>52.38143199999999</v>
      </c>
      <c r="H15" s="178">
        <v>8.8331469999999968</v>
      </c>
      <c r="I15" s="178">
        <v>0.74281283574819101</v>
      </c>
      <c r="J15" s="185">
        <v>555.18171762775808</v>
      </c>
      <c r="K15" s="177">
        <v>5554.9429433686819</v>
      </c>
      <c r="L15" s="178">
        <v>155.43280741859999</v>
      </c>
      <c r="M15" s="178">
        <v>5399.5101359500823</v>
      </c>
      <c r="N15" s="189">
        <v>1113.652214</v>
      </c>
      <c r="O15" s="178">
        <v>541.940350642</v>
      </c>
      <c r="P15" s="185">
        <v>571.71186335799996</v>
      </c>
      <c r="Q15" s="178">
        <v>96.376855370102007</v>
      </c>
      <c r="R15" s="178">
        <v>11.994289956108666</v>
      </c>
      <c r="S15" s="178">
        <v>6079.5931446342929</v>
      </c>
      <c r="T15" s="58"/>
      <c r="U15" s="57"/>
      <c r="V15" s="57"/>
      <c r="W15" s="57"/>
    </row>
    <row r="16" spans="1:23" ht="12" customHeight="1">
      <c r="A16" s="176" t="s">
        <v>169</v>
      </c>
      <c r="B16" s="183">
        <v>423.15323818433103</v>
      </c>
      <c r="C16" s="178">
        <v>63.082985501163002</v>
      </c>
      <c r="D16" s="178">
        <v>360.07025268316801</v>
      </c>
      <c r="E16" s="189">
        <v>497.59877599999999</v>
      </c>
      <c r="F16" s="178">
        <v>6.7807319999999995</v>
      </c>
      <c r="G16" s="185">
        <v>490.81804399999999</v>
      </c>
      <c r="H16" s="178">
        <v>9.2110570000000003</v>
      </c>
      <c r="I16" s="178">
        <v>5.3779194640957284</v>
      </c>
      <c r="J16" s="185">
        <v>865.47727314726387</v>
      </c>
      <c r="K16" s="177">
        <v>4613.3258188953187</v>
      </c>
      <c r="L16" s="178">
        <v>688.74458952839996</v>
      </c>
      <c r="M16" s="178">
        <v>3924.5812293669187</v>
      </c>
      <c r="N16" s="189">
        <v>5434.0884880000012</v>
      </c>
      <c r="O16" s="178">
        <v>74.182022314000008</v>
      </c>
      <c r="P16" s="185">
        <v>5359.906465686001</v>
      </c>
      <c r="Q16" s="178">
        <v>100.07223992601703</v>
      </c>
      <c r="R16" s="178">
        <v>62.260951796088371</v>
      </c>
      <c r="S16" s="178">
        <v>9446.8208867750236</v>
      </c>
      <c r="T16" s="58"/>
      <c r="U16" s="57"/>
      <c r="V16" s="57"/>
      <c r="W16" s="57"/>
    </row>
    <row r="17" spans="1:23" ht="12" customHeight="1">
      <c r="A17" s="179" t="s">
        <v>170</v>
      </c>
      <c r="B17" s="184">
        <v>408.03356959305603</v>
      </c>
      <c r="C17" s="181">
        <v>66.507248162530004</v>
      </c>
      <c r="D17" s="181">
        <v>341.52632143052602</v>
      </c>
      <c r="E17" s="190">
        <v>603.09112400000004</v>
      </c>
      <c r="F17" s="181">
        <v>17.302006000000002</v>
      </c>
      <c r="G17" s="186">
        <v>585.78911800000003</v>
      </c>
      <c r="H17" s="181">
        <v>16.040348000000002</v>
      </c>
      <c r="I17" s="181">
        <v>5.887859769979026</v>
      </c>
      <c r="J17" s="186">
        <v>949.24364720050505</v>
      </c>
      <c r="K17" s="180">
        <v>4441.569943683</v>
      </c>
      <c r="L17" s="181">
        <v>724.79476838959999</v>
      </c>
      <c r="M17" s="181">
        <v>3716.7751752934</v>
      </c>
      <c r="N17" s="190">
        <v>6563.1233219999995</v>
      </c>
      <c r="O17" s="181">
        <v>187.849554273</v>
      </c>
      <c r="P17" s="186">
        <v>6375.2737677269997</v>
      </c>
      <c r="Q17" s="181">
        <v>175.74369973777098</v>
      </c>
      <c r="R17" s="181">
        <v>67.976190740743647</v>
      </c>
      <c r="S17" s="181">
        <v>10335.768833498914</v>
      </c>
      <c r="T17" s="58"/>
      <c r="U17" s="57"/>
      <c r="V17" s="57"/>
      <c r="W17" s="57"/>
    </row>
    <row r="18" spans="1:23" ht="12" customHeight="1">
      <c r="A18" s="176" t="s">
        <v>48</v>
      </c>
      <c r="B18" s="183">
        <f>SUM(B6:B8)</f>
        <v>1358.4932245705322</v>
      </c>
      <c r="C18" s="177">
        <f>SUM(C6:C8)</f>
        <v>21.090826081081463</v>
      </c>
      <c r="D18" s="177">
        <f>SUM(D6:D8)</f>
        <v>1337.4023984894509</v>
      </c>
      <c r="E18" s="183">
        <f t="shared" ref="E18:J18" si="0">SUM(E6:E8)</f>
        <v>1072.0164650000002</v>
      </c>
      <c r="F18" s="177">
        <f t="shared" si="0"/>
        <v>22.543822000000002</v>
      </c>
      <c r="G18" s="187">
        <f>SUM(G6:G8)</f>
        <v>1049.4726430000001</v>
      </c>
      <c r="H18" s="177">
        <f t="shared" si="0"/>
        <v>27.185915054151003</v>
      </c>
      <c r="I18" s="177">
        <f t="shared" si="0"/>
        <v>0.73833171288564259</v>
      </c>
      <c r="J18" s="187">
        <f t="shared" si="0"/>
        <v>2414.7992882564872</v>
      </c>
      <c r="K18" s="177">
        <f>SUM(K6:K8)</f>
        <v>14821.128696358002</v>
      </c>
      <c r="L18" s="177">
        <f>SUM(L6:L8)</f>
        <v>229.22669813229999</v>
      </c>
      <c r="M18" s="177">
        <f t="shared" ref="M18:S18" si="1">SUM(M6:M8)</f>
        <v>14591.9019982257</v>
      </c>
      <c r="N18" s="183">
        <f t="shared" si="1"/>
        <v>11639.27169</v>
      </c>
      <c r="O18" s="177">
        <f t="shared" si="1"/>
        <v>244.98545800399998</v>
      </c>
      <c r="P18" s="187">
        <f t="shared" si="1"/>
        <v>11394.286231996</v>
      </c>
      <c r="Q18" s="177">
        <f t="shared" si="1"/>
        <v>297.78169980846843</v>
      </c>
      <c r="R18" s="177">
        <f>SUM(R6:R8)</f>
        <v>15.012800551677131</v>
      </c>
      <c r="S18" s="177">
        <f t="shared" si="1"/>
        <v>26298.982730581847</v>
      </c>
    </row>
    <row r="19" spans="1:23" ht="12" customHeight="1">
      <c r="A19" s="176" t="s">
        <v>56</v>
      </c>
      <c r="B19" s="183">
        <f>SUM(B9:B11)</f>
        <v>1775.9069079166388</v>
      </c>
      <c r="C19" s="177">
        <f>SUM(C9:C11)</f>
        <v>17.57088650179</v>
      </c>
      <c r="D19" s="177">
        <f t="shared" ref="D19:J19" si="2">SUM(D9:D11)</f>
        <v>1758.3360214148488</v>
      </c>
      <c r="E19" s="183">
        <f t="shared" si="2"/>
        <v>201.834036</v>
      </c>
      <c r="F19" s="177">
        <f t="shared" si="2"/>
        <v>899.61112619999994</v>
      </c>
      <c r="G19" s="187">
        <f t="shared" si="2"/>
        <v>-697.77709019999998</v>
      </c>
      <c r="H19" s="177">
        <f t="shared" si="2"/>
        <v>26.586682</v>
      </c>
      <c r="I19" s="177">
        <f t="shared" si="2"/>
        <v>8.3636532522879996</v>
      </c>
      <c r="J19" s="187">
        <f t="shared" si="2"/>
        <v>1095.5092664671367</v>
      </c>
      <c r="K19" s="177">
        <f>SUM(K9:K11)</f>
        <v>19409.059770524997</v>
      </c>
      <c r="L19" s="177">
        <f t="shared" ref="L19:S19" si="3">SUM(L9:L11)</f>
        <v>192.16299494559999</v>
      </c>
      <c r="M19" s="177">
        <f t="shared" si="3"/>
        <v>19216.8967755794</v>
      </c>
      <c r="N19" s="183">
        <f t="shared" si="3"/>
        <v>2183.5463960000002</v>
      </c>
      <c r="O19" s="177">
        <f>SUM(O9:O11)</f>
        <v>9847.3497090540004</v>
      </c>
      <c r="P19" s="187">
        <f t="shared" si="3"/>
        <v>-7663.8033130539998</v>
      </c>
      <c r="Q19" s="177">
        <f t="shared" si="3"/>
        <v>291.01406211209212</v>
      </c>
      <c r="R19" s="177">
        <f t="shared" si="3"/>
        <v>114.03969160206476</v>
      </c>
      <c r="S19" s="177">
        <f t="shared" si="3"/>
        <v>11958.147216239558</v>
      </c>
    </row>
    <row r="20" spans="1:23" ht="12" customHeight="1">
      <c r="A20" s="176" t="s">
        <v>63</v>
      </c>
      <c r="B20" s="183">
        <f>SUM(B12:B14)</f>
        <v>1586.1186309133541</v>
      </c>
      <c r="C20" s="177">
        <f>SUM(C12:C14)</f>
        <v>154.54155943647197</v>
      </c>
      <c r="D20" s="177">
        <f t="shared" ref="D20:J20" si="4">SUM(D12:D14)</f>
        <v>1431.5770714768821</v>
      </c>
      <c r="E20" s="183">
        <f t="shared" si="4"/>
        <v>4.3800000000000002E-3</v>
      </c>
      <c r="F20" s="177">
        <f t="shared" si="4"/>
        <v>585.03662199999997</v>
      </c>
      <c r="G20" s="187">
        <f t="shared" si="4"/>
        <v>-585.032242</v>
      </c>
      <c r="H20" s="177">
        <f t="shared" si="4"/>
        <v>26.098772000000004</v>
      </c>
      <c r="I20" s="177">
        <f>SUM(I12:I14)</f>
        <v>13.911551748254919</v>
      </c>
      <c r="J20" s="187">
        <f t="shared" si="4"/>
        <v>886.55515322513702</v>
      </c>
      <c r="K20" s="177">
        <f>SUM(K12:K14)</f>
        <v>17327.775709813999</v>
      </c>
      <c r="L20" s="177">
        <f t="shared" ref="L20:S20" si="5">SUM(L12:L14)</f>
        <v>1685.500958584</v>
      </c>
      <c r="M20" s="177">
        <f t="shared" si="5"/>
        <v>15642.274751230001</v>
      </c>
      <c r="N20" s="183">
        <f t="shared" si="5"/>
        <v>4.8014000000000001E-2</v>
      </c>
      <c r="O20" s="177">
        <f t="shared" si="5"/>
        <v>6395.7268550110002</v>
      </c>
      <c r="P20" s="187">
        <f t="shared" si="5"/>
        <v>-6395.6788410109993</v>
      </c>
      <c r="Q20" s="177">
        <f t="shared" si="5"/>
        <v>286.23729067126601</v>
      </c>
      <c r="R20" s="177">
        <f t="shared" si="5"/>
        <v>157.33428052448807</v>
      </c>
      <c r="S20" s="177">
        <f t="shared" si="5"/>
        <v>9690.1674814147536</v>
      </c>
    </row>
    <row r="21" spans="1:23" ht="12" customHeight="1">
      <c r="A21" s="179" t="s">
        <v>57</v>
      </c>
      <c r="B21" s="184">
        <f>SUM(B15:B17)</f>
        <v>1338.5955534751579</v>
      </c>
      <c r="C21" s="180">
        <f>SUM(C15:C17)</f>
        <v>143.77465356945402</v>
      </c>
      <c r="D21" s="180">
        <f t="shared" ref="D21:J21" si="6">SUM(D15:D17)</f>
        <v>1194.820899905704</v>
      </c>
      <c r="E21" s="184">
        <f t="shared" si="6"/>
        <v>1202.479382</v>
      </c>
      <c r="F21" s="180">
        <f t="shared" si="6"/>
        <v>73.490788000000009</v>
      </c>
      <c r="G21" s="188">
        <f t="shared" si="6"/>
        <v>1128.9885939999999</v>
      </c>
      <c r="H21" s="180">
        <f t="shared" si="6"/>
        <v>34.084552000000002</v>
      </c>
      <c r="I21" s="180">
        <f t="shared" si="6"/>
        <v>12.008592069822946</v>
      </c>
      <c r="J21" s="188">
        <f t="shared" si="6"/>
        <v>2369.9026379755269</v>
      </c>
      <c r="K21" s="180">
        <f>SUM(K15:K17)</f>
        <v>14609.838705947001</v>
      </c>
      <c r="L21" s="180">
        <f t="shared" ref="L21:R21" si="7">SUM(L15:L17)</f>
        <v>1568.9721653366</v>
      </c>
      <c r="M21" s="180">
        <f t="shared" si="7"/>
        <v>13040.866540610401</v>
      </c>
      <c r="N21" s="184">
        <f t="shared" si="7"/>
        <v>13110.864024</v>
      </c>
      <c r="O21" s="180">
        <f t="shared" si="7"/>
        <v>803.97192722900002</v>
      </c>
      <c r="P21" s="188">
        <f t="shared" si="7"/>
        <v>12306.892096771</v>
      </c>
      <c r="Q21" s="180">
        <f t="shared" si="7"/>
        <v>372.19279503388998</v>
      </c>
      <c r="R21" s="180">
        <f t="shared" si="7"/>
        <v>142.23143249294068</v>
      </c>
      <c r="S21" s="180">
        <f>SUM(S15:S17)</f>
        <v>25862.182864908231</v>
      </c>
    </row>
    <row r="22" spans="1:23" ht="12" customHeight="1">
      <c r="A22" s="176" t="s">
        <v>58</v>
      </c>
      <c r="B22" s="183">
        <f>SUM(B6:B11)</f>
        <v>3134.400132487171</v>
      </c>
      <c r="C22" s="177">
        <f>SUM(C6:C11)</f>
        <v>38.661712582871466</v>
      </c>
      <c r="D22" s="177">
        <f t="shared" ref="D22:J22" si="8">SUM(D6:D11)</f>
        <v>3095.7384199042999</v>
      </c>
      <c r="E22" s="183">
        <f t="shared" si="8"/>
        <v>1273.8505010000001</v>
      </c>
      <c r="F22" s="177">
        <f t="shared" si="8"/>
        <v>922.15494820000004</v>
      </c>
      <c r="G22" s="187">
        <f t="shared" si="8"/>
        <v>351.69555280000014</v>
      </c>
      <c r="H22" s="177">
        <f t="shared" si="8"/>
        <v>53.772597054151007</v>
      </c>
      <c r="I22" s="177">
        <f t="shared" si="8"/>
        <v>9.1019849651736422</v>
      </c>
      <c r="J22" s="187">
        <f t="shared" si="8"/>
        <v>3510.3085547236242</v>
      </c>
      <c r="K22" s="177">
        <f>SUM(K6:K11)</f>
        <v>34230.188466883003</v>
      </c>
      <c r="L22" s="177">
        <f t="shared" ref="L22:S22" si="9">SUM(L6:L11)</f>
        <v>421.38969307790001</v>
      </c>
      <c r="M22" s="177">
        <f t="shared" si="9"/>
        <v>33808.798773805102</v>
      </c>
      <c r="N22" s="183">
        <f t="shared" si="9"/>
        <v>13822.818085999999</v>
      </c>
      <c r="O22" s="177">
        <f t="shared" si="9"/>
        <v>10092.335167058001</v>
      </c>
      <c r="P22" s="187">
        <f t="shared" si="9"/>
        <v>3730.4829189420016</v>
      </c>
      <c r="Q22" s="177">
        <f t="shared" si="9"/>
        <v>588.79576192056061</v>
      </c>
      <c r="R22" s="177">
        <f t="shared" si="9"/>
        <v>129.05249215374187</v>
      </c>
      <c r="S22" s="177">
        <f t="shared" si="9"/>
        <v>38257.129946821406</v>
      </c>
    </row>
    <row r="23" spans="1:23" ht="12" customHeight="1">
      <c r="A23" s="179" t="s">
        <v>59</v>
      </c>
      <c r="B23" s="184">
        <f>SUM(B12:B17)</f>
        <v>2924.714184388512</v>
      </c>
      <c r="C23" s="180">
        <f>SUM(C12:C17)</f>
        <v>298.31621300592599</v>
      </c>
      <c r="D23" s="180">
        <f t="shared" ref="D23:J23" si="10">SUM(D12:D17)</f>
        <v>2626.3979713825861</v>
      </c>
      <c r="E23" s="184">
        <f t="shared" si="10"/>
        <v>1202.4837620000001</v>
      </c>
      <c r="F23" s="180">
        <f t="shared" si="10"/>
        <v>658.52740999999992</v>
      </c>
      <c r="G23" s="188">
        <f t="shared" si="10"/>
        <v>543.95635200000004</v>
      </c>
      <c r="H23" s="180">
        <f t="shared" si="10"/>
        <v>60.183324000000006</v>
      </c>
      <c r="I23" s="180">
        <f t="shared" si="10"/>
        <v>25.920143818077864</v>
      </c>
      <c r="J23" s="188">
        <f t="shared" si="10"/>
        <v>3256.4577912006644</v>
      </c>
      <c r="K23" s="180">
        <f>SUM(K12:K17)</f>
        <v>31937.614415761</v>
      </c>
      <c r="L23" s="180">
        <f t="shared" ref="L23:S23" si="11">SUM(L12:L17)</f>
        <v>3254.4731239206003</v>
      </c>
      <c r="M23" s="180">
        <f t="shared" si="11"/>
        <v>28683.141291840402</v>
      </c>
      <c r="N23" s="184">
        <f t="shared" si="11"/>
        <v>13110.912038</v>
      </c>
      <c r="O23" s="180">
        <f t="shared" si="11"/>
        <v>7199.6987822400006</v>
      </c>
      <c r="P23" s="188">
        <f t="shared" si="11"/>
        <v>5911.2132557600016</v>
      </c>
      <c r="Q23" s="180">
        <f t="shared" si="11"/>
        <v>658.43008570515599</v>
      </c>
      <c r="R23" s="180">
        <f t="shared" si="11"/>
        <v>299.56571301742872</v>
      </c>
      <c r="S23" s="180">
        <f t="shared" si="11"/>
        <v>35552.350346322986</v>
      </c>
    </row>
    <row r="24" spans="1:23" ht="12" customHeight="1">
      <c r="A24" s="182" t="s">
        <v>171</v>
      </c>
      <c r="B24" s="394">
        <f>SUM(B6:B17)</f>
        <v>6059.1143168756835</v>
      </c>
      <c r="C24" s="395">
        <f>SUM(C6:C17)</f>
        <v>336.97792558879746</v>
      </c>
      <c r="D24" s="395">
        <f t="shared" ref="D24:J24" si="12">SUM(D6:D17)</f>
        <v>5722.1363912868865</v>
      </c>
      <c r="E24" s="394">
        <f t="shared" si="12"/>
        <v>2476.3342630000002</v>
      </c>
      <c r="F24" s="395">
        <f t="shared" si="12"/>
        <v>1580.6823582</v>
      </c>
      <c r="G24" s="396">
        <f t="shared" si="12"/>
        <v>895.65190480000024</v>
      </c>
      <c r="H24" s="395">
        <f t="shared" si="12"/>
        <v>113.95592105415102</v>
      </c>
      <c r="I24" s="395">
        <f t="shared" si="12"/>
        <v>35.022128783251503</v>
      </c>
      <c r="J24" s="396">
        <f t="shared" si="12"/>
        <v>6766.7663459242885</v>
      </c>
      <c r="K24" s="395">
        <f>SUM(K6:K17)</f>
        <v>66167.802882643999</v>
      </c>
      <c r="L24" s="395">
        <f t="shared" ref="L24:S24" si="13">SUM(L6:L17)</f>
        <v>3675.8628169985004</v>
      </c>
      <c r="M24" s="395">
        <f t="shared" si="13"/>
        <v>62491.940065645496</v>
      </c>
      <c r="N24" s="394">
        <f t="shared" si="13"/>
        <v>26933.730124000002</v>
      </c>
      <c r="O24" s="395">
        <f t="shared" si="13"/>
        <v>17292.033949298002</v>
      </c>
      <c r="P24" s="396">
        <f t="shared" si="13"/>
        <v>9641.6961747020014</v>
      </c>
      <c r="Q24" s="395">
        <f t="shared" si="13"/>
        <v>1247.2258476257166</v>
      </c>
      <c r="R24" s="395">
        <f t="shared" si="13"/>
        <v>428.61820517117064</v>
      </c>
      <c r="S24" s="395">
        <f t="shared" si="13"/>
        <v>73809.480293144385</v>
      </c>
    </row>
    <row r="25" spans="1:23" ht="8.15" customHeight="1"/>
    <row r="26" spans="1:23" ht="13.5" customHeight="1">
      <c r="A26" s="438" t="s">
        <v>244</v>
      </c>
      <c r="B26" s="438"/>
      <c r="C26" s="438"/>
      <c r="D26" s="438"/>
      <c r="E26" s="438"/>
      <c r="F26" s="438"/>
      <c r="G26" s="438"/>
      <c r="H26" s="438"/>
      <c r="I26" s="438"/>
      <c r="J26" s="60"/>
      <c r="K26" s="438" t="s">
        <v>245</v>
      </c>
      <c r="L26" s="438"/>
      <c r="M26" s="438"/>
      <c r="N26" s="438"/>
      <c r="O26" s="438"/>
      <c r="P26" s="438"/>
      <c r="Q26" s="438"/>
      <c r="R26" s="438"/>
      <c r="S26" s="438"/>
      <c r="V26" s="393"/>
      <c r="W26" s="393"/>
    </row>
    <row r="27" spans="1:23" ht="8.15" customHeight="1">
      <c r="D27" s="61"/>
      <c r="E27" s="62" t="s">
        <v>196</v>
      </c>
      <c r="F27" s="62" t="s">
        <v>197</v>
      </c>
      <c r="G27" s="63"/>
      <c r="H27" s="63"/>
      <c r="L27" s="63"/>
      <c r="M27" s="62"/>
      <c r="N27" s="62" t="s">
        <v>198</v>
      </c>
      <c r="O27" s="61" t="s">
        <v>199</v>
      </c>
    </row>
    <row r="28" spans="1:23" ht="8.15" customHeight="1">
      <c r="D28" s="61" t="str">
        <f>A6</f>
        <v>Leden</v>
      </c>
      <c r="E28" s="62">
        <f>B6</f>
        <v>463.02032292276868</v>
      </c>
      <c r="F28" s="62">
        <f>C6*-1</f>
        <v>-20.941328995270386</v>
      </c>
      <c r="G28" s="63"/>
      <c r="L28" s="63"/>
      <c r="M28" s="62" t="str">
        <f>A6</f>
        <v>Leden</v>
      </c>
      <c r="N28" s="62">
        <f>E6</f>
        <v>596.49069199999997</v>
      </c>
      <c r="O28" s="62">
        <f>F6*-1</f>
        <v>-1.8698680000000001</v>
      </c>
    </row>
    <row r="29" spans="1:23" ht="8.15" customHeight="1">
      <c r="D29" s="61" t="str">
        <f t="shared" ref="D29:D39" si="14">A7</f>
        <v>Únor</v>
      </c>
      <c r="E29" s="62">
        <f t="shared" ref="E29:E39" si="15">B7</f>
        <v>557.94659742511897</v>
      </c>
      <c r="F29" s="62">
        <f t="shared" ref="F29:F39" si="16">C7*-1</f>
        <v>-0.11417086195799998</v>
      </c>
      <c r="G29" s="63"/>
      <c r="L29" s="63"/>
      <c r="M29" s="62" t="str">
        <f t="shared" ref="M29:M39" si="17">A7</f>
        <v>Únor</v>
      </c>
      <c r="N29" s="62">
        <f t="shared" ref="N29:N39" si="18">E7</f>
        <v>151.33870099999996</v>
      </c>
      <c r="O29" s="62">
        <f t="shared" ref="O29:O39" si="19">F7*-1</f>
        <v>-11.740470000000002</v>
      </c>
    </row>
    <row r="30" spans="1:23" ht="8.15" customHeight="1">
      <c r="D30" s="61" t="str">
        <f t="shared" si="14"/>
        <v>Březen</v>
      </c>
      <c r="E30" s="62">
        <f t="shared" si="15"/>
        <v>337.52630422264463</v>
      </c>
      <c r="F30" s="62">
        <f t="shared" si="16"/>
        <v>-3.5326223853076072E-2</v>
      </c>
      <c r="G30" s="63"/>
      <c r="L30" s="63"/>
      <c r="M30" s="62" t="str">
        <f t="shared" si="17"/>
        <v>Březen</v>
      </c>
      <c r="N30" s="62">
        <f t="shared" si="18"/>
        <v>324.18707200000006</v>
      </c>
      <c r="O30" s="62">
        <f t="shared" si="19"/>
        <v>-8.933484</v>
      </c>
    </row>
    <row r="31" spans="1:23" ht="8.15" customHeight="1">
      <c r="D31" s="61" t="str">
        <f t="shared" si="14"/>
        <v>Duben</v>
      </c>
      <c r="E31" s="62">
        <f t="shared" si="15"/>
        <v>343.16157323516302</v>
      </c>
      <c r="F31" s="62">
        <f t="shared" si="16"/>
        <v>-12.04427035282</v>
      </c>
      <c r="G31" s="63"/>
      <c r="L31" s="63"/>
      <c r="M31" s="62" t="str">
        <f t="shared" si="17"/>
        <v>Duben</v>
      </c>
      <c r="N31" s="62">
        <f t="shared" si="18"/>
        <v>199.63674499999999</v>
      </c>
      <c r="O31" s="62">
        <f t="shared" si="19"/>
        <v>-72.840921000000009</v>
      </c>
    </row>
    <row r="32" spans="1:23" ht="8.15" customHeight="1">
      <c r="D32" s="61" t="str">
        <f t="shared" si="14"/>
        <v>Květen</v>
      </c>
      <c r="E32" s="62">
        <f t="shared" si="15"/>
        <v>639.993582051462</v>
      </c>
      <c r="F32" s="62">
        <f t="shared" si="16"/>
        <v>-1.248665445461</v>
      </c>
      <c r="G32" s="63"/>
      <c r="L32" s="63"/>
      <c r="M32" s="62" t="str">
        <f t="shared" si="17"/>
        <v>Květen</v>
      </c>
      <c r="N32" s="62">
        <f t="shared" si="18"/>
        <v>0</v>
      </c>
      <c r="O32" s="62">
        <f t="shared" si="19"/>
        <v>-327.108564</v>
      </c>
    </row>
    <row r="33" spans="4:15" ht="8.15" customHeight="1">
      <c r="D33" s="61" t="str">
        <f t="shared" si="14"/>
        <v>Červen</v>
      </c>
      <c r="E33" s="62">
        <f t="shared" si="15"/>
        <v>792.75175263001393</v>
      </c>
      <c r="F33" s="62">
        <f t="shared" si="16"/>
        <v>-4.2779507035090001</v>
      </c>
      <c r="G33" s="63"/>
      <c r="L33" s="63"/>
      <c r="M33" s="62" t="str">
        <f t="shared" si="17"/>
        <v>Červen</v>
      </c>
      <c r="N33" s="62">
        <f t="shared" si="18"/>
        <v>2.1972910000000003</v>
      </c>
      <c r="O33" s="62">
        <f t="shared" si="19"/>
        <v>-499.66164119999996</v>
      </c>
    </row>
    <row r="34" spans="4:15" ht="8.15" customHeight="1">
      <c r="D34" s="61" t="str">
        <f t="shared" si="14"/>
        <v>Červenec</v>
      </c>
      <c r="E34" s="62">
        <f t="shared" si="15"/>
        <v>585.17322256407306</v>
      </c>
      <c r="F34" s="62">
        <f t="shared" si="16"/>
        <v>-110.59800354830098</v>
      </c>
      <c r="G34" s="63"/>
      <c r="L34" s="63"/>
      <c r="M34" s="62" t="str">
        <f t="shared" si="17"/>
        <v>Červenec</v>
      </c>
      <c r="N34" s="62">
        <f t="shared" si="18"/>
        <v>9.4799999999999995E-4</v>
      </c>
      <c r="O34" s="62">
        <f t="shared" si="19"/>
        <v>-219.562783</v>
      </c>
    </row>
    <row r="35" spans="4:15" ht="8.15" customHeight="1">
      <c r="D35" s="61" t="str">
        <f t="shared" si="14"/>
        <v>Srpen</v>
      </c>
      <c r="E35" s="62">
        <f t="shared" si="15"/>
        <v>574.64363606460302</v>
      </c>
      <c r="F35" s="62">
        <f t="shared" si="16"/>
        <v>-30.046023427961998</v>
      </c>
      <c r="G35" s="63"/>
      <c r="L35" s="63"/>
      <c r="M35" s="62" t="str">
        <f t="shared" si="17"/>
        <v>Srpen</v>
      </c>
      <c r="N35" s="62">
        <f t="shared" si="18"/>
        <v>0</v>
      </c>
      <c r="O35" s="62">
        <f t="shared" si="19"/>
        <v>-274.06606699999998</v>
      </c>
    </row>
    <row r="36" spans="4:15" ht="8.15" customHeight="1">
      <c r="D36" s="61" t="str">
        <f t="shared" si="14"/>
        <v>Září</v>
      </c>
      <c r="E36" s="62">
        <f t="shared" si="15"/>
        <v>426.30177228467801</v>
      </c>
      <c r="F36" s="62">
        <f t="shared" si="16"/>
        <v>-13.897532460209</v>
      </c>
      <c r="G36" s="63"/>
      <c r="L36" s="63"/>
      <c r="M36" s="62" t="str">
        <f t="shared" si="17"/>
        <v>Září</v>
      </c>
      <c r="N36" s="62">
        <f t="shared" si="18"/>
        <v>3.4320000000000002E-3</v>
      </c>
      <c r="O36" s="62">
        <f t="shared" si="19"/>
        <v>-91.407771999999994</v>
      </c>
    </row>
    <row r="37" spans="4:15" ht="8.15" customHeight="1">
      <c r="D37" s="61" t="str">
        <f t="shared" si="14"/>
        <v>Říjen</v>
      </c>
      <c r="E37" s="62">
        <f t="shared" si="15"/>
        <v>507.40874569777094</v>
      </c>
      <c r="F37" s="62">
        <f t="shared" si="16"/>
        <v>-14.184419905761001</v>
      </c>
      <c r="G37" s="63"/>
      <c r="L37" s="63"/>
      <c r="M37" s="62" t="str">
        <f t="shared" si="17"/>
        <v>Říjen</v>
      </c>
      <c r="N37" s="62">
        <f t="shared" si="18"/>
        <v>101.78948199999999</v>
      </c>
      <c r="O37" s="62">
        <f t="shared" si="19"/>
        <v>-49.408050000000003</v>
      </c>
    </row>
    <row r="38" spans="4:15" ht="8.15" customHeight="1">
      <c r="D38" s="61" t="str">
        <f t="shared" si="14"/>
        <v>Listopad</v>
      </c>
      <c r="E38" s="62">
        <f t="shared" si="15"/>
        <v>423.15323818433103</v>
      </c>
      <c r="F38" s="62">
        <f t="shared" si="16"/>
        <v>-63.082985501163002</v>
      </c>
      <c r="G38" s="63"/>
      <c r="L38" s="63"/>
      <c r="M38" s="62" t="str">
        <f t="shared" si="17"/>
        <v>Listopad</v>
      </c>
      <c r="N38" s="62">
        <f t="shared" si="18"/>
        <v>497.59877599999999</v>
      </c>
      <c r="O38" s="62">
        <f t="shared" si="19"/>
        <v>-6.7807319999999995</v>
      </c>
    </row>
    <row r="39" spans="4:15" ht="8.15" customHeight="1">
      <c r="D39" s="61" t="str">
        <f t="shared" si="14"/>
        <v>Prosinec</v>
      </c>
      <c r="E39" s="62">
        <f t="shared" si="15"/>
        <v>408.03356959305603</v>
      </c>
      <c r="F39" s="62">
        <f t="shared" si="16"/>
        <v>-66.507248162530004</v>
      </c>
      <c r="M39" s="62" t="str">
        <f t="shared" si="17"/>
        <v>Prosinec</v>
      </c>
      <c r="N39" s="62">
        <f t="shared" si="18"/>
        <v>603.09112400000004</v>
      </c>
      <c r="O39" s="62">
        <f t="shared" si="19"/>
        <v>-17.302006000000002</v>
      </c>
    </row>
    <row r="40" spans="4:15" ht="12" customHeight="1">
      <c r="M40" s="63"/>
    </row>
    <row r="41" spans="4:15" ht="12" customHeight="1"/>
    <row r="42" spans="4:15" ht="12" customHeight="1"/>
    <row r="43" spans="4:15" ht="12" customHeight="1"/>
  </sheetData>
  <mergeCells count="16">
    <mergeCell ref="K4:M4"/>
    <mergeCell ref="A26:I26"/>
    <mergeCell ref="K26:S26"/>
    <mergeCell ref="B2:S2"/>
    <mergeCell ref="A1:S1"/>
    <mergeCell ref="N4:P4"/>
    <mergeCell ref="H4:H5"/>
    <mergeCell ref="I4:I5"/>
    <mergeCell ref="J4:J5"/>
    <mergeCell ref="B3:J3"/>
    <mergeCell ref="K3:S3"/>
    <mergeCell ref="Q4:Q5"/>
    <mergeCell ref="R4:R5"/>
    <mergeCell ref="S4:S5"/>
    <mergeCell ref="B4:D4"/>
    <mergeCell ref="E4:G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20:S21 B23:S23 C22:S22 C18 E18:F18 H18:K18 M18:Q18 C19:N19 P19:S19 S1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V56"/>
  <sheetViews>
    <sheetView showGridLines="0" topLeftCell="A7" zoomScaleNormal="100" zoomScaleSheetLayoutView="100" workbookViewId="0">
      <selection activeCell="D1" sqref="D1"/>
    </sheetView>
  </sheetViews>
  <sheetFormatPr defaultRowHeight="10"/>
  <cols>
    <col min="1" max="1" width="8.1796875" style="12" customWidth="1"/>
    <col min="2" max="3" width="7.7265625" style="12" customWidth="1"/>
    <col min="4" max="4" width="7.26953125" style="12" customWidth="1"/>
    <col min="5" max="6" width="7.7265625" style="12" customWidth="1"/>
    <col min="7" max="7" width="7.453125" style="12" customWidth="1"/>
    <col min="8" max="8" width="9.1796875" style="12" customWidth="1"/>
    <col min="9" max="12" width="7.7265625" style="12" customWidth="1"/>
    <col min="13" max="13" width="9" style="12" customWidth="1"/>
    <col min="14" max="18" width="4.7265625" style="12" customWidth="1"/>
    <col min="19" max="20" width="6.7265625" style="12" customWidth="1"/>
    <col min="21" max="259" width="9.1796875" style="12"/>
    <col min="260" max="272" width="10.7265625" style="12" customWidth="1"/>
    <col min="273" max="515" width="9.1796875" style="12"/>
    <col min="516" max="528" width="10.7265625" style="12" customWidth="1"/>
    <col min="529" max="771" width="9.1796875" style="12"/>
    <col min="772" max="784" width="10.7265625" style="12" customWidth="1"/>
    <col min="785" max="1027" width="9.1796875" style="12"/>
    <col min="1028" max="1040" width="10.7265625" style="12" customWidth="1"/>
    <col min="1041" max="1283" width="9.1796875" style="12"/>
    <col min="1284" max="1296" width="10.7265625" style="12" customWidth="1"/>
    <col min="1297" max="1539" width="9.1796875" style="12"/>
    <col min="1540" max="1552" width="10.7265625" style="12" customWidth="1"/>
    <col min="1553" max="1795" width="9.1796875" style="12"/>
    <col min="1796" max="1808" width="10.7265625" style="12" customWidth="1"/>
    <col min="1809" max="2051" width="9.1796875" style="12"/>
    <col min="2052" max="2064" width="10.7265625" style="12" customWidth="1"/>
    <col min="2065" max="2307" width="9.1796875" style="12"/>
    <col min="2308" max="2320" width="10.7265625" style="12" customWidth="1"/>
    <col min="2321" max="2563" width="9.1796875" style="12"/>
    <col min="2564" max="2576" width="10.7265625" style="12" customWidth="1"/>
    <col min="2577" max="2819" width="9.1796875" style="12"/>
    <col min="2820" max="2832" width="10.7265625" style="12" customWidth="1"/>
    <col min="2833" max="3075" width="9.1796875" style="12"/>
    <col min="3076" max="3088" width="10.7265625" style="12" customWidth="1"/>
    <col min="3089" max="3331" width="9.1796875" style="12"/>
    <col min="3332" max="3344" width="10.7265625" style="12" customWidth="1"/>
    <col min="3345" max="3587" width="9.1796875" style="12"/>
    <col min="3588" max="3600" width="10.7265625" style="12" customWidth="1"/>
    <col min="3601" max="3843" width="9.1796875" style="12"/>
    <col min="3844" max="3856" width="10.7265625" style="12" customWidth="1"/>
    <col min="3857" max="4099" width="9.1796875" style="12"/>
    <col min="4100" max="4112" width="10.7265625" style="12" customWidth="1"/>
    <col min="4113" max="4355" width="9.1796875" style="12"/>
    <col min="4356" max="4368" width="10.7265625" style="12" customWidth="1"/>
    <col min="4369" max="4611" width="9.1796875" style="12"/>
    <col min="4612" max="4624" width="10.7265625" style="12" customWidth="1"/>
    <col min="4625" max="4867" width="9.1796875" style="12"/>
    <col min="4868" max="4880" width="10.7265625" style="12" customWidth="1"/>
    <col min="4881" max="5123" width="9.1796875" style="12"/>
    <col min="5124" max="5136" width="10.7265625" style="12" customWidth="1"/>
    <col min="5137" max="5379" width="9.1796875" style="12"/>
    <col min="5380" max="5392" width="10.7265625" style="12" customWidth="1"/>
    <col min="5393" max="5635" width="9.1796875" style="12"/>
    <col min="5636" max="5648" width="10.7265625" style="12" customWidth="1"/>
    <col min="5649" max="5891" width="9.1796875" style="12"/>
    <col min="5892" max="5904" width="10.7265625" style="12" customWidth="1"/>
    <col min="5905" max="6147" width="9.1796875" style="12"/>
    <col min="6148" max="6160" width="10.7265625" style="12" customWidth="1"/>
    <col min="6161" max="6403" width="9.1796875" style="12"/>
    <col min="6404" max="6416" width="10.7265625" style="12" customWidth="1"/>
    <col min="6417" max="6659" width="9.1796875" style="12"/>
    <col min="6660" max="6672" width="10.7265625" style="12" customWidth="1"/>
    <col min="6673" max="6915" width="9.1796875" style="12"/>
    <col min="6916" max="6928" width="10.7265625" style="12" customWidth="1"/>
    <col min="6929" max="7171" width="9.1796875" style="12"/>
    <col min="7172" max="7184" width="10.7265625" style="12" customWidth="1"/>
    <col min="7185" max="7427" width="9.1796875" style="12"/>
    <col min="7428" max="7440" width="10.7265625" style="12" customWidth="1"/>
    <col min="7441" max="7683" width="9.1796875" style="12"/>
    <col min="7684" max="7696" width="10.7265625" style="12" customWidth="1"/>
    <col min="7697" max="7939" width="9.1796875" style="12"/>
    <col min="7940" max="7952" width="10.7265625" style="12" customWidth="1"/>
    <col min="7953" max="8195" width="9.1796875" style="12"/>
    <col min="8196" max="8208" width="10.7265625" style="12" customWidth="1"/>
    <col min="8209" max="8451" width="9.1796875" style="12"/>
    <col min="8452" max="8464" width="10.7265625" style="12" customWidth="1"/>
    <col min="8465" max="8707" width="9.1796875" style="12"/>
    <col min="8708" max="8720" width="10.7265625" style="12" customWidth="1"/>
    <col min="8721" max="8963" width="9.1796875" style="12"/>
    <col min="8964" max="8976" width="10.7265625" style="12" customWidth="1"/>
    <col min="8977" max="9219" width="9.1796875" style="12"/>
    <col min="9220" max="9232" width="10.7265625" style="12" customWidth="1"/>
    <col min="9233" max="9475" width="9.1796875" style="12"/>
    <col min="9476" max="9488" width="10.7265625" style="12" customWidth="1"/>
    <col min="9489" max="9731" width="9.1796875" style="12"/>
    <col min="9732" max="9744" width="10.7265625" style="12" customWidth="1"/>
    <col min="9745" max="9987" width="9.1796875" style="12"/>
    <col min="9988" max="10000" width="10.7265625" style="12" customWidth="1"/>
    <col min="10001" max="10243" width="9.1796875" style="12"/>
    <col min="10244" max="10256" width="10.7265625" style="12" customWidth="1"/>
    <col min="10257" max="10499" width="9.1796875" style="12"/>
    <col min="10500" max="10512" width="10.7265625" style="12" customWidth="1"/>
    <col min="10513" max="10755" width="9.1796875" style="12"/>
    <col min="10756" max="10768" width="10.7265625" style="12" customWidth="1"/>
    <col min="10769" max="11011" width="9.1796875" style="12"/>
    <col min="11012" max="11024" width="10.7265625" style="12" customWidth="1"/>
    <col min="11025" max="11267" width="9.1796875" style="12"/>
    <col min="11268" max="11280" width="10.7265625" style="12" customWidth="1"/>
    <col min="11281" max="11523" width="9.1796875" style="12"/>
    <col min="11524" max="11536" width="10.7265625" style="12" customWidth="1"/>
    <col min="11537" max="11779" width="9.1796875" style="12"/>
    <col min="11780" max="11792" width="10.7265625" style="12" customWidth="1"/>
    <col min="11793" max="12035" width="9.1796875" style="12"/>
    <col min="12036" max="12048" width="10.7265625" style="12" customWidth="1"/>
    <col min="12049" max="12291" width="9.1796875" style="12"/>
    <col min="12292" max="12304" width="10.7265625" style="12" customWidth="1"/>
    <col min="12305" max="12547" width="9.1796875" style="12"/>
    <col min="12548" max="12560" width="10.7265625" style="12" customWidth="1"/>
    <col min="12561" max="12803" width="9.1796875" style="12"/>
    <col min="12804" max="12816" width="10.7265625" style="12" customWidth="1"/>
    <col min="12817" max="13059" width="9.1796875" style="12"/>
    <col min="13060" max="13072" width="10.7265625" style="12" customWidth="1"/>
    <col min="13073" max="13315" width="9.1796875" style="12"/>
    <col min="13316" max="13328" width="10.7265625" style="12" customWidth="1"/>
    <col min="13329" max="13571" width="9.1796875" style="12"/>
    <col min="13572" max="13584" width="10.7265625" style="12" customWidth="1"/>
    <col min="13585" max="13827" width="9.1796875" style="12"/>
    <col min="13828" max="13840" width="10.7265625" style="12" customWidth="1"/>
    <col min="13841" max="14083" width="9.1796875" style="12"/>
    <col min="14084" max="14096" width="10.7265625" style="12" customWidth="1"/>
    <col min="14097" max="14339" width="9.1796875" style="12"/>
    <col min="14340" max="14352" width="10.7265625" style="12" customWidth="1"/>
    <col min="14353" max="14595" width="9.1796875" style="12"/>
    <col min="14596" max="14608" width="10.7265625" style="12" customWidth="1"/>
    <col min="14609" max="14851" width="9.1796875" style="12"/>
    <col min="14852" max="14864" width="10.7265625" style="12" customWidth="1"/>
    <col min="14865" max="15107" width="9.1796875" style="12"/>
    <col min="15108" max="15120" width="10.7265625" style="12" customWidth="1"/>
    <col min="15121" max="15363" width="9.1796875" style="12"/>
    <col min="15364" max="15376" width="10.7265625" style="12" customWidth="1"/>
    <col min="15377" max="15619" width="9.1796875" style="12"/>
    <col min="15620" max="15632" width="10.7265625" style="12" customWidth="1"/>
    <col min="15633" max="15875" width="9.1796875" style="12"/>
    <col min="15876" max="15888" width="10.7265625" style="12" customWidth="1"/>
    <col min="15889" max="16131" width="9.1796875" style="12"/>
    <col min="16132" max="16144" width="10.7265625" style="12" customWidth="1"/>
    <col min="16145" max="16384" width="9.1796875" style="12"/>
  </cols>
  <sheetData>
    <row r="1" spans="1:22" ht="20">
      <c r="A1" s="69" t="s">
        <v>284</v>
      </c>
    </row>
    <row r="2" spans="1:22" ht="18">
      <c r="A2" s="373" t="s">
        <v>290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22" ht="6" customHeight="1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8"/>
      <c r="L3" s="207"/>
      <c r="M3" s="207"/>
      <c r="N3" s="207"/>
      <c r="O3" s="207"/>
      <c r="P3" s="207"/>
      <c r="Q3" s="207"/>
      <c r="R3" s="207"/>
    </row>
    <row r="4" spans="1:22" ht="16" customHeight="1">
      <c r="A4" s="205">
        <f>'3.1'!A4</f>
        <v>2024</v>
      </c>
      <c r="B4" s="447" t="s">
        <v>256</v>
      </c>
      <c r="C4" s="450"/>
      <c r="D4" s="450"/>
      <c r="E4" s="450"/>
      <c r="F4" s="450"/>
      <c r="G4" s="450"/>
      <c r="H4" s="449"/>
      <c r="I4" s="447" t="s">
        <v>214</v>
      </c>
      <c r="J4" s="450"/>
      <c r="K4" s="450"/>
      <c r="L4" s="450"/>
      <c r="M4" s="450"/>
      <c r="N4" s="447" t="s">
        <v>226</v>
      </c>
      <c r="O4" s="450"/>
      <c r="P4" s="450"/>
      <c r="Q4" s="450"/>
      <c r="R4" s="449"/>
      <c r="S4" s="228" t="s">
        <v>256</v>
      </c>
      <c r="T4" s="228" t="s">
        <v>214</v>
      </c>
    </row>
    <row r="5" spans="1:22" ht="36.75" customHeight="1">
      <c r="A5" s="217"/>
      <c r="B5" s="451" t="s">
        <v>154</v>
      </c>
      <c r="C5" s="444"/>
      <c r="D5" s="444"/>
      <c r="E5" s="444" t="s">
        <v>155</v>
      </c>
      <c r="F5" s="444"/>
      <c r="G5" s="444"/>
      <c r="H5" s="197" t="s">
        <v>152</v>
      </c>
      <c r="I5" s="451" t="s">
        <v>154</v>
      </c>
      <c r="J5" s="444"/>
      <c r="K5" s="444" t="s">
        <v>155</v>
      </c>
      <c r="L5" s="444"/>
      <c r="M5" s="196" t="s">
        <v>152</v>
      </c>
      <c r="N5" s="451" t="s">
        <v>259</v>
      </c>
      <c r="O5" s="444"/>
      <c r="P5" s="444"/>
      <c r="Q5" s="444"/>
      <c r="R5" s="446"/>
      <c r="S5" s="443" t="s">
        <v>153</v>
      </c>
      <c r="T5" s="443"/>
    </row>
    <row r="6" spans="1:22" ht="44.25" customHeight="1">
      <c r="A6" s="224"/>
      <c r="B6" s="231">
        <f>A4</f>
        <v>2024</v>
      </c>
      <c r="C6" s="232">
        <f>B6-1</f>
        <v>2023</v>
      </c>
      <c r="D6" s="194" t="s">
        <v>260</v>
      </c>
      <c r="E6" s="232">
        <f>B6</f>
        <v>2024</v>
      </c>
      <c r="F6" s="232">
        <f>C6</f>
        <v>2023</v>
      </c>
      <c r="G6" s="194" t="s">
        <v>261</v>
      </c>
      <c r="H6" s="233">
        <f>B6</f>
        <v>2024</v>
      </c>
      <c r="I6" s="231">
        <f>B6</f>
        <v>2024</v>
      </c>
      <c r="J6" s="232">
        <f>C6</f>
        <v>2023</v>
      </c>
      <c r="K6" s="232">
        <f>B6</f>
        <v>2024</v>
      </c>
      <c r="L6" s="232">
        <f>C6</f>
        <v>2023</v>
      </c>
      <c r="M6" s="232">
        <f>B6</f>
        <v>2024</v>
      </c>
      <c r="N6" s="225" t="s">
        <v>62</v>
      </c>
      <c r="O6" s="226" t="s">
        <v>172</v>
      </c>
      <c r="P6" s="226" t="s">
        <v>173</v>
      </c>
      <c r="Q6" s="226" t="s">
        <v>113</v>
      </c>
      <c r="R6" s="227" t="s">
        <v>115</v>
      </c>
      <c r="S6" s="444"/>
      <c r="T6" s="444"/>
    </row>
    <row r="7" spans="1:22" ht="12" customHeight="1">
      <c r="A7" s="176" t="s">
        <v>159</v>
      </c>
      <c r="B7" s="183">
        <v>1051.8509986812032</v>
      </c>
      <c r="C7" s="177">
        <v>891.77987089563828</v>
      </c>
      <c r="D7" s="211">
        <v>0.17949623333031867</v>
      </c>
      <c r="E7" s="178">
        <v>1084.9582110813419</v>
      </c>
      <c r="F7" s="178">
        <v>1018.2711816603346</v>
      </c>
      <c r="G7" s="211">
        <v>6.5490441664342564E-2</v>
      </c>
      <c r="H7" s="185">
        <v>1010</v>
      </c>
      <c r="I7" s="189">
        <v>11462.735667232671</v>
      </c>
      <c r="J7" s="178">
        <v>9714.563236209995</v>
      </c>
      <c r="K7" s="178">
        <v>11823.527476051153</v>
      </c>
      <c r="L7" s="177">
        <v>11092.490544684235</v>
      </c>
      <c r="M7" s="177">
        <v>11010</v>
      </c>
      <c r="N7" s="183">
        <v>-0.33870967741935487</v>
      </c>
      <c r="O7" s="177">
        <v>7.8</v>
      </c>
      <c r="P7" s="177">
        <v>-9.6</v>
      </c>
      <c r="Q7" s="177">
        <v>-1.2258064516129035</v>
      </c>
      <c r="R7" s="187">
        <v>0.8870967741935486</v>
      </c>
      <c r="S7" s="209">
        <v>62.514759106650565</v>
      </c>
      <c r="T7" s="209">
        <v>681.00186999999983</v>
      </c>
      <c r="U7" s="57"/>
      <c r="V7" s="68"/>
    </row>
    <row r="8" spans="1:22" ht="12" customHeight="1">
      <c r="A8" s="176" t="s">
        <v>160</v>
      </c>
      <c r="B8" s="183">
        <v>707.94480425791289</v>
      </c>
      <c r="C8" s="178">
        <v>860.76740305537987</v>
      </c>
      <c r="D8" s="211">
        <v>-0.17754227013593674</v>
      </c>
      <c r="E8" s="178">
        <v>882.9526091238165</v>
      </c>
      <c r="F8" s="178">
        <v>905.06624105235687</v>
      </c>
      <c r="G8" s="211">
        <v>-2.4433164033196026E-2</v>
      </c>
      <c r="H8" s="185">
        <v>890</v>
      </c>
      <c r="I8" s="189">
        <v>7711.130118562075</v>
      </c>
      <c r="J8" s="178">
        <v>9341.3894159989995</v>
      </c>
      <c r="K8" s="178">
        <v>9617.3634110000276</v>
      </c>
      <c r="L8" s="177">
        <v>9822.1379840060417</v>
      </c>
      <c r="M8" s="177">
        <v>9700</v>
      </c>
      <c r="N8" s="189">
        <v>5.8928571428571415</v>
      </c>
      <c r="O8" s="178">
        <v>8.6</v>
      </c>
      <c r="P8" s="178">
        <v>2.8</v>
      </c>
      <c r="Q8" s="178">
        <v>-0.15517241379310354</v>
      </c>
      <c r="R8" s="187">
        <v>6.0480295566502447</v>
      </c>
      <c r="S8" s="209">
        <v>35.787999354436337</v>
      </c>
      <c r="T8" s="209">
        <v>388.38558799999953</v>
      </c>
      <c r="U8" s="57"/>
      <c r="V8" s="68"/>
    </row>
    <row r="9" spans="1:22" ht="12" customHeight="1">
      <c r="A9" s="179" t="s">
        <v>161</v>
      </c>
      <c r="B9" s="184">
        <v>655.0035079944048</v>
      </c>
      <c r="C9" s="181">
        <v>769.26811951702939</v>
      </c>
      <c r="D9" s="214">
        <v>-0.14853678272065077</v>
      </c>
      <c r="E9" s="181">
        <v>785.93616741470794</v>
      </c>
      <c r="F9" s="181">
        <v>813.43576392756404</v>
      </c>
      <c r="G9" s="214">
        <v>-3.3806721725730418E-2</v>
      </c>
      <c r="H9" s="186">
        <v>800</v>
      </c>
      <c r="I9" s="190">
        <v>7125.1168675441722</v>
      </c>
      <c r="J9" s="181">
        <v>8340.019322711998</v>
      </c>
      <c r="K9" s="181">
        <v>8549.4000794075</v>
      </c>
      <c r="L9" s="180">
        <v>8818.8627824589057</v>
      </c>
      <c r="M9" s="188">
        <v>8720</v>
      </c>
      <c r="N9" s="190">
        <v>7.2451612903225797</v>
      </c>
      <c r="O9" s="181">
        <v>14.6</v>
      </c>
      <c r="P9" s="181">
        <v>2.2000000000000002</v>
      </c>
      <c r="Q9" s="181">
        <v>3.512903225806451</v>
      </c>
      <c r="R9" s="188">
        <v>3.7322580645161287</v>
      </c>
      <c r="S9" s="215">
        <v>42.330376839932882</v>
      </c>
      <c r="T9" s="215">
        <v>458.92476799999969</v>
      </c>
      <c r="U9" s="57"/>
      <c r="V9" s="68"/>
    </row>
    <row r="10" spans="1:22" ht="12" customHeight="1">
      <c r="A10" s="176" t="s">
        <v>162</v>
      </c>
      <c r="B10" s="183">
        <v>474.79681431326793</v>
      </c>
      <c r="C10" s="178">
        <v>606.43594392235718</v>
      </c>
      <c r="D10" s="211">
        <v>-0.21707013070113007</v>
      </c>
      <c r="E10" s="178">
        <v>523.42919642256436</v>
      </c>
      <c r="F10" s="178">
        <v>542.12712609056382</v>
      </c>
      <c r="G10" s="211">
        <v>-3.448993560391575E-2</v>
      </c>
      <c r="H10" s="185">
        <v>530</v>
      </c>
      <c r="I10" s="189">
        <v>5172.0376211000748</v>
      </c>
      <c r="J10" s="178">
        <v>6615.1744044379602</v>
      </c>
      <c r="K10" s="178">
        <v>5701.797936018781</v>
      </c>
      <c r="L10" s="177">
        <v>5913.6756724383122</v>
      </c>
      <c r="M10" s="177">
        <v>5770</v>
      </c>
      <c r="N10" s="183">
        <v>10.256666666666664</v>
      </c>
      <c r="O10" s="177">
        <v>18.7</v>
      </c>
      <c r="P10" s="177">
        <v>2.1</v>
      </c>
      <c r="Q10" s="177">
        <v>8.6366666666666667</v>
      </c>
      <c r="R10" s="187">
        <v>1.6199999999999974</v>
      </c>
      <c r="S10" s="209">
        <v>31.677149535295861</v>
      </c>
      <c r="T10" s="209">
        <v>345.54328599999985</v>
      </c>
      <c r="U10" s="57"/>
      <c r="V10" s="68"/>
    </row>
    <row r="11" spans="1:22" ht="12" customHeight="1">
      <c r="A11" s="176" t="s">
        <v>163</v>
      </c>
      <c r="B11" s="183">
        <v>326.62957502353277</v>
      </c>
      <c r="C11" s="178">
        <v>368.85357592765939</v>
      </c>
      <c r="D11" s="211">
        <v>-0.11447361137257273</v>
      </c>
      <c r="E11" s="178">
        <v>348.29453318579641</v>
      </c>
      <c r="F11" s="178">
        <v>354.09291505284216</v>
      </c>
      <c r="G11" s="211">
        <v>-1.6375311734719237E-2</v>
      </c>
      <c r="H11" s="185">
        <v>350</v>
      </c>
      <c r="I11" s="189">
        <v>3575.0744572616513</v>
      </c>
      <c r="J11" s="178">
        <v>4038.3717193379994</v>
      </c>
      <c r="K11" s="178">
        <v>3812.2049698246083</v>
      </c>
      <c r="L11" s="177">
        <v>3876.7654904009873</v>
      </c>
      <c r="M11" s="177">
        <v>3810</v>
      </c>
      <c r="N11" s="189">
        <v>14.761290322580647</v>
      </c>
      <c r="O11" s="178">
        <v>17.5</v>
      </c>
      <c r="P11" s="178">
        <v>11.1</v>
      </c>
      <c r="Q11" s="178">
        <v>13.522580645161288</v>
      </c>
      <c r="R11" s="187">
        <v>1.2387096774193598</v>
      </c>
      <c r="S11" s="209">
        <v>29.79625154435049</v>
      </c>
      <c r="T11" s="209">
        <v>326.22216200000003</v>
      </c>
      <c r="U11" s="57"/>
      <c r="V11" s="68"/>
    </row>
    <row r="12" spans="1:22" ht="12" customHeight="1">
      <c r="A12" s="179" t="s">
        <v>164</v>
      </c>
      <c r="B12" s="184">
        <v>294.08268280600646</v>
      </c>
      <c r="C12" s="181">
        <v>313.95310905674575</v>
      </c>
      <c r="D12" s="214">
        <v>-6.3291063784776169E-2</v>
      </c>
      <c r="E12" s="181">
        <v>299.58293571686659</v>
      </c>
      <c r="F12" s="181">
        <v>316.35299234701233</v>
      </c>
      <c r="G12" s="214">
        <v>-5.3010583227707929E-2</v>
      </c>
      <c r="H12" s="186">
        <v>310</v>
      </c>
      <c r="I12" s="190">
        <v>3211.0350115048382</v>
      </c>
      <c r="J12" s="181">
        <v>3439.013946421001</v>
      </c>
      <c r="K12" s="181">
        <v>3271.0912667742236</v>
      </c>
      <c r="L12" s="180">
        <v>3465.302050812787</v>
      </c>
      <c r="M12" s="188">
        <v>3380</v>
      </c>
      <c r="N12" s="190">
        <v>18.109999999999996</v>
      </c>
      <c r="O12" s="181">
        <v>25</v>
      </c>
      <c r="P12" s="181">
        <v>12.1</v>
      </c>
      <c r="Q12" s="181">
        <v>16.59</v>
      </c>
      <c r="R12" s="188">
        <v>1.519999999999996</v>
      </c>
      <c r="S12" s="215">
        <v>40.763738453332955</v>
      </c>
      <c r="T12" s="215">
        <v>446.52228000000053</v>
      </c>
      <c r="U12" s="66"/>
      <c r="V12" s="68"/>
    </row>
    <row r="13" spans="1:22" ht="12" customHeight="1">
      <c r="A13" s="176" t="s">
        <v>165</v>
      </c>
      <c r="B13" s="183">
        <v>269.85784670868031</v>
      </c>
      <c r="C13" s="178">
        <v>281.16730328742176</v>
      </c>
      <c r="D13" s="211">
        <v>-4.02232281154698E-2</v>
      </c>
      <c r="E13" s="178">
        <v>276.58693408234467</v>
      </c>
      <c r="F13" s="178">
        <v>289.09069131840243</v>
      </c>
      <c r="G13" s="211">
        <v>-4.3252023020991071E-2</v>
      </c>
      <c r="H13" s="185">
        <v>280</v>
      </c>
      <c r="I13" s="189">
        <v>2945.6408140627332</v>
      </c>
      <c r="J13" s="178">
        <v>3081.7762799849997</v>
      </c>
      <c r="K13" s="178">
        <v>3019.0923540161284</v>
      </c>
      <c r="L13" s="177">
        <v>3168.6217595464409</v>
      </c>
      <c r="M13" s="177">
        <v>3050</v>
      </c>
      <c r="N13" s="183">
        <v>20.032258064516132</v>
      </c>
      <c r="O13" s="177">
        <v>24.2</v>
      </c>
      <c r="P13" s="177">
        <v>14.7</v>
      </c>
      <c r="Q13" s="177">
        <v>18.522580645161291</v>
      </c>
      <c r="R13" s="187">
        <v>1.5096774193548406</v>
      </c>
      <c r="S13" s="209">
        <v>23.577121525575532</v>
      </c>
      <c r="T13" s="209">
        <v>258.420254</v>
      </c>
      <c r="U13" s="57"/>
      <c r="V13" s="68"/>
    </row>
    <row r="14" spans="1:22" ht="12" customHeight="1">
      <c r="A14" s="176" t="s">
        <v>166</v>
      </c>
      <c r="B14" s="183">
        <v>280.15222038277369</v>
      </c>
      <c r="C14" s="178">
        <v>287.6215369775108</v>
      </c>
      <c r="D14" s="211">
        <v>-2.5969253461437195E-2</v>
      </c>
      <c r="E14" s="178">
        <v>288.50439631378231</v>
      </c>
      <c r="F14" s="178">
        <v>290.24586152556071</v>
      </c>
      <c r="G14" s="211">
        <v>-5.9999656933094328E-3</v>
      </c>
      <c r="H14" s="185">
        <v>290</v>
      </c>
      <c r="I14" s="189">
        <v>3061.2898112760004</v>
      </c>
      <c r="J14" s="178">
        <v>3154.9670279710044</v>
      </c>
      <c r="K14" s="178">
        <v>3152.5560202128668</v>
      </c>
      <c r="L14" s="177">
        <v>3183.7536672011524</v>
      </c>
      <c r="M14" s="177">
        <v>3160</v>
      </c>
      <c r="N14" s="189">
        <v>20.416129032258063</v>
      </c>
      <c r="O14" s="178">
        <v>24.5</v>
      </c>
      <c r="P14" s="178">
        <v>15.9</v>
      </c>
      <c r="Q14" s="178">
        <v>18.119354838709679</v>
      </c>
      <c r="R14" s="187">
        <v>2.2967741935483836</v>
      </c>
      <c r="S14" s="209">
        <v>37.792778887285891</v>
      </c>
      <c r="T14" s="209">
        <v>414.55508700000001</v>
      </c>
      <c r="U14" s="57"/>
      <c r="V14" s="68"/>
    </row>
    <row r="15" spans="1:22" ht="12" customHeight="1">
      <c r="A15" s="179" t="s">
        <v>167</v>
      </c>
      <c r="B15" s="184">
        <v>336.54394803244486</v>
      </c>
      <c r="C15" s="181">
        <v>302.26857171234781</v>
      </c>
      <c r="D15" s="214">
        <v>0.11339378131814187</v>
      </c>
      <c r="E15" s="181">
        <v>361.93390634522922</v>
      </c>
      <c r="F15" s="181">
        <v>352.90832533559529</v>
      </c>
      <c r="G15" s="214">
        <v>2.557485998963363E-2</v>
      </c>
      <c r="H15" s="186">
        <v>340</v>
      </c>
      <c r="I15" s="190">
        <v>3683.2365446250005</v>
      </c>
      <c r="J15" s="181">
        <v>3320.3462229230008</v>
      </c>
      <c r="K15" s="181">
        <v>3961.111760836397</v>
      </c>
      <c r="L15" s="180">
        <v>3876.6115128278743</v>
      </c>
      <c r="M15" s="180">
        <v>3700</v>
      </c>
      <c r="N15" s="190">
        <v>15.229999999999999</v>
      </c>
      <c r="O15" s="181">
        <v>23.3</v>
      </c>
      <c r="P15" s="181">
        <v>6.8</v>
      </c>
      <c r="Q15" s="181">
        <v>13.223333333333333</v>
      </c>
      <c r="R15" s="188">
        <v>2.0066666666666659</v>
      </c>
      <c r="S15" s="215">
        <v>35.048355938664521</v>
      </c>
      <c r="T15" s="215">
        <v>384.99732</v>
      </c>
      <c r="U15" s="57"/>
      <c r="V15" s="68"/>
    </row>
    <row r="16" spans="1:22" ht="12" customHeight="1">
      <c r="A16" s="176" t="s">
        <v>168</v>
      </c>
      <c r="B16" s="183">
        <v>555.18162526233971</v>
      </c>
      <c r="C16" s="178">
        <v>465.54145508528813</v>
      </c>
      <c r="D16" s="211">
        <v>0.19255035013075111</v>
      </c>
      <c r="E16" s="178">
        <v>593.36219588806307</v>
      </c>
      <c r="F16" s="178">
        <v>546.33017523016531</v>
      </c>
      <c r="G16" s="211">
        <v>8.608717363649826E-2</v>
      </c>
      <c r="H16" s="185">
        <v>530</v>
      </c>
      <c r="I16" s="189">
        <v>6079.5932658473685</v>
      </c>
      <c r="J16" s="178">
        <v>5108.6494381160001</v>
      </c>
      <c r="K16" s="178">
        <v>6497.6948915138755</v>
      </c>
      <c r="L16" s="177">
        <v>5995.1897134575938</v>
      </c>
      <c r="M16" s="177">
        <v>5770</v>
      </c>
      <c r="N16" s="183">
        <v>9.9064516129032238</v>
      </c>
      <c r="O16" s="177">
        <v>14.6</v>
      </c>
      <c r="P16" s="177">
        <v>6.2</v>
      </c>
      <c r="Q16" s="177">
        <v>8.3548387096774199</v>
      </c>
      <c r="R16" s="187">
        <v>1.5516129032258039</v>
      </c>
      <c r="S16" s="209">
        <v>47.045828301633826</v>
      </c>
      <c r="T16" s="209">
        <v>516.260447</v>
      </c>
      <c r="U16" s="57"/>
      <c r="V16" s="68"/>
    </row>
    <row r="17" spans="1:22" ht="12" customHeight="1">
      <c r="A17" s="176" t="s">
        <v>169</v>
      </c>
      <c r="B17" s="183">
        <v>865.4774527318192</v>
      </c>
      <c r="C17" s="178">
        <v>731.11426618603377</v>
      </c>
      <c r="D17" s="211">
        <v>0.18377864139720726</v>
      </c>
      <c r="E17" s="178">
        <v>843.13227405655152</v>
      </c>
      <c r="F17" s="178">
        <v>760.54545225178458</v>
      </c>
      <c r="G17" s="211">
        <v>0.10858893648005921</v>
      </c>
      <c r="H17" s="185">
        <v>740</v>
      </c>
      <c r="I17" s="189">
        <v>9446.8207947580013</v>
      </c>
      <c r="J17" s="178">
        <v>7992.1156112217432</v>
      </c>
      <c r="K17" s="178">
        <v>9202.9196995812199</v>
      </c>
      <c r="L17" s="177">
        <v>8313.840206803643</v>
      </c>
      <c r="M17" s="177">
        <v>8060</v>
      </c>
      <c r="N17" s="189">
        <v>2.9600000000000004</v>
      </c>
      <c r="O17" s="178">
        <v>7.5</v>
      </c>
      <c r="P17" s="178">
        <v>-0.6</v>
      </c>
      <c r="Q17" s="178">
        <v>3.5466666666666664</v>
      </c>
      <c r="R17" s="187">
        <v>-0.586666666666666</v>
      </c>
      <c r="S17" s="209">
        <v>89.435198221811362</v>
      </c>
      <c r="T17" s="209">
        <v>977.65353099999993</v>
      </c>
      <c r="U17" s="57"/>
      <c r="V17" s="68"/>
    </row>
    <row r="18" spans="1:22" ht="12" customHeight="1">
      <c r="A18" s="179" t="s">
        <v>170</v>
      </c>
      <c r="B18" s="184">
        <v>949.24370870291034</v>
      </c>
      <c r="C18" s="181">
        <v>879.80203918057634</v>
      </c>
      <c r="D18" s="214">
        <v>7.8928743546684749E-2</v>
      </c>
      <c r="E18" s="181">
        <v>996.0181899766294</v>
      </c>
      <c r="F18" s="181">
        <v>964.3109404346792</v>
      </c>
      <c r="G18" s="214">
        <v>3.2880731942808439E-2</v>
      </c>
      <c r="H18" s="186">
        <v>950</v>
      </c>
      <c r="I18" s="190">
        <v>10335.768853731004</v>
      </c>
      <c r="J18" s="181">
        <v>9596.0610667806886</v>
      </c>
      <c r="K18" s="181">
        <v>10845.069281288157</v>
      </c>
      <c r="L18" s="180">
        <v>10517.805437680543</v>
      </c>
      <c r="M18" s="180">
        <v>10350</v>
      </c>
      <c r="N18" s="190">
        <v>1.0193548387096774</v>
      </c>
      <c r="O18" s="181">
        <v>6.5</v>
      </c>
      <c r="P18" s="181">
        <v>-2.6</v>
      </c>
      <c r="Q18" s="181">
        <v>-0.38387096774193558</v>
      </c>
      <c r="R18" s="188">
        <v>1.403225806451613</v>
      </c>
      <c r="S18" s="215">
        <v>63.69366608161716</v>
      </c>
      <c r="T18" s="215">
        <v>694.71117600000002</v>
      </c>
      <c r="U18" s="57"/>
      <c r="V18" s="68"/>
    </row>
    <row r="19" spans="1:22" ht="12" customHeight="1">
      <c r="A19" s="176" t="s">
        <v>48</v>
      </c>
      <c r="B19" s="220">
        <f>SUM(B7:B9)</f>
        <v>2414.7993109335212</v>
      </c>
      <c r="C19" s="391">
        <f>SUM(C7:C9)</f>
        <v>2521.8153934680477</v>
      </c>
      <c r="D19" s="211">
        <f>(B19-C19)/C19</f>
        <v>-4.2436128676078856E-2</v>
      </c>
      <c r="E19" s="212">
        <f t="shared" ref="E19:F19" si="0">SUM(E7:E9)</f>
        <v>2753.8469876198665</v>
      </c>
      <c r="F19" s="212">
        <f t="shared" si="0"/>
        <v>2736.7731866402555</v>
      </c>
      <c r="G19" s="211">
        <f t="shared" ref="G19:G25" si="1">(E19-F19)/F19</f>
        <v>6.2386613048380744E-3</v>
      </c>
      <c r="H19" s="378">
        <f t="shared" ref="H19:M19" si="2">SUM(H7:H9)</f>
        <v>2700</v>
      </c>
      <c r="I19" s="220">
        <f>SUM(I7:I9)</f>
        <v>26298.98265333892</v>
      </c>
      <c r="J19" s="391">
        <f t="shared" si="2"/>
        <v>27395.971974920991</v>
      </c>
      <c r="K19" s="212">
        <f t="shared" si="2"/>
        <v>29990.29096645868</v>
      </c>
      <c r="L19" s="212">
        <f t="shared" si="2"/>
        <v>29733.491311149184</v>
      </c>
      <c r="M19" s="378">
        <f t="shared" si="2"/>
        <v>29430</v>
      </c>
      <c r="N19" s="220">
        <f>AVERAGE(N7:N9)</f>
        <v>4.2664362519201218</v>
      </c>
      <c r="O19" s="212">
        <f>MAX(O7:O9)</f>
        <v>14.6</v>
      </c>
      <c r="P19" s="212">
        <f>MIN(P7:P9)</f>
        <v>-9.6</v>
      </c>
      <c r="Q19" s="212">
        <f>AVERAGE(Q7:Q9)</f>
        <v>0.71064145346681462</v>
      </c>
      <c r="R19" s="223">
        <f>N19-Q19</f>
        <v>3.5557947984533071</v>
      </c>
      <c r="S19" s="212">
        <f>SUM(S7:S9)</f>
        <v>140.63313530101979</v>
      </c>
      <c r="T19" s="212">
        <f>SUM(T7:T9)</f>
        <v>1528.3122259999989</v>
      </c>
      <c r="U19" s="63"/>
      <c r="V19" s="68"/>
    </row>
    <row r="20" spans="1:22" ht="12" customHeight="1">
      <c r="A20" s="176" t="s">
        <v>56</v>
      </c>
      <c r="B20" s="220">
        <f>SUM(B10:B12)</f>
        <v>1095.5090721428071</v>
      </c>
      <c r="C20" s="212">
        <f>SUM(C10:C12)</f>
        <v>1289.2426289067623</v>
      </c>
      <c r="D20" s="211">
        <f>(B20-C20)/C20</f>
        <v>-0.15026927625580863</v>
      </c>
      <c r="E20" s="212">
        <f t="shared" ref="E20:I20" si="3">SUM(E10:E12)</f>
        <v>1171.3066653252274</v>
      </c>
      <c r="F20" s="212">
        <f t="shared" ref="F20" si="4">SUM(F10:F12)</f>
        <v>1212.5730334904183</v>
      </c>
      <c r="G20" s="211">
        <f>(E20-F20)/F20</f>
        <v>-3.4032068193372851E-2</v>
      </c>
      <c r="H20" s="223">
        <f>SUM(H10:H12)</f>
        <v>1190</v>
      </c>
      <c r="I20" s="220">
        <f t="shared" si="3"/>
        <v>11958.147089866565</v>
      </c>
      <c r="J20" s="212">
        <f t="shared" ref="J20" si="5">SUM(J10:J12)</f>
        <v>14092.56007019696</v>
      </c>
      <c r="K20" s="212">
        <f>SUM(K10:K12)</f>
        <v>12785.094172617613</v>
      </c>
      <c r="L20" s="212">
        <f>SUM(L10:L12)</f>
        <v>13255.743213652086</v>
      </c>
      <c r="M20" s="223">
        <f>SUM(M10:M12)</f>
        <v>12960</v>
      </c>
      <c r="N20" s="220">
        <f>AVERAGE(N10:N12)</f>
        <v>14.375985663082437</v>
      </c>
      <c r="O20" s="212">
        <f>MAX(O10:O12)</f>
        <v>25</v>
      </c>
      <c r="P20" s="212">
        <f>MIN(P10:P12)</f>
        <v>2.1</v>
      </c>
      <c r="Q20" s="212">
        <f>AVERAGE(Q10:Q12)</f>
        <v>12.916415770609319</v>
      </c>
      <c r="R20" s="223">
        <f t="shared" ref="R20:R25" si="6">N20-Q20</f>
        <v>1.4595698924731177</v>
      </c>
      <c r="S20" s="212">
        <f>SUM(S10:S12)</f>
        <v>102.23713953297931</v>
      </c>
      <c r="T20" s="212">
        <f>SUM(T10:T12)</f>
        <v>1118.2877280000005</v>
      </c>
      <c r="V20" s="68"/>
    </row>
    <row r="21" spans="1:22" ht="12" customHeight="1">
      <c r="A21" s="176" t="s">
        <v>63</v>
      </c>
      <c r="B21" s="220">
        <f>SUM(B13:B15)</f>
        <v>886.55401512389881</v>
      </c>
      <c r="C21" s="212">
        <f>SUM(C13:C15)</f>
        <v>871.05741197728037</v>
      </c>
      <c r="D21" s="211">
        <f t="shared" ref="D21:D25" si="7">(B21-C21)/C21</f>
        <v>1.7790564586829594E-2</v>
      </c>
      <c r="E21" s="212">
        <f t="shared" ref="E21:K21" si="8">SUM(E13:E15)</f>
        <v>927.02523674135614</v>
      </c>
      <c r="F21" s="212">
        <f t="shared" ref="F21" si="9">SUM(F13:F15)</f>
        <v>932.24487817955833</v>
      </c>
      <c r="G21" s="211">
        <f t="shared" si="1"/>
        <v>-5.5990025371819106E-3</v>
      </c>
      <c r="H21" s="223">
        <f>SUM(H13:H15)</f>
        <v>910</v>
      </c>
      <c r="I21" s="220">
        <f t="shared" si="8"/>
        <v>9690.1671699637336</v>
      </c>
      <c r="J21" s="212">
        <f t="shared" ref="J21" si="10">SUM(J13:J15)</f>
        <v>9557.0895308790059</v>
      </c>
      <c r="K21" s="212">
        <f t="shared" si="8"/>
        <v>10132.760135065391</v>
      </c>
      <c r="L21" s="212">
        <f t="shared" ref="L21" si="11">SUM(L13:L15)</f>
        <v>10228.986939575469</v>
      </c>
      <c r="M21" s="223">
        <f>SUM(M13:M15)</f>
        <v>9910</v>
      </c>
      <c r="N21" s="220">
        <f>AVERAGE(N13:N15)</f>
        <v>18.559462365591397</v>
      </c>
      <c r="O21" s="212">
        <f>MAX(O13:O15)</f>
        <v>24.5</v>
      </c>
      <c r="P21" s="212">
        <f>MIN(P13:P15)</f>
        <v>6.8</v>
      </c>
      <c r="Q21" s="212">
        <f>AVERAGE(Q13:Q15)</f>
        <v>16.621756272401431</v>
      </c>
      <c r="R21" s="223">
        <f>N21-Q21</f>
        <v>1.9377060931899663</v>
      </c>
      <c r="S21" s="212">
        <f t="shared" ref="S21:T21" si="12">SUM(S13:S15)</f>
        <v>96.41825635152594</v>
      </c>
      <c r="T21" s="212">
        <f t="shared" si="12"/>
        <v>1057.972661</v>
      </c>
      <c r="V21" s="68"/>
    </row>
    <row r="22" spans="1:22" ht="12" customHeight="1">
      <c r="A22" s="179" t="s">
        <v>57</v>
      </c>
      <c r="B22" s="397">
        <f>SUM(B16:B18)</f>
        <v>2369.9027866970691</v>
      </c>
      <c r="C22" s="388">
        <f>SUM(C16:C18)</f>
        <v>2076.4577604518981</v>
      </c>
      <c r="D22" s="214">
        <f t="shared" si="7"/>
        <v>0.14132000748298812</v>
      </c>
      <c r="E22" s="388">
        <f t="shared" ref="E22:K22" si="13">SUM(E16:E18)</f>
        <v>2432.512659921244</v>
      </c>
      <c r="F22" s="388">
        <f t="shared" ref="F22" si="14">SUM(F16:F18)</f>
        <v>2271.186567916629</v>
      </c>
      <c r="G22" s="214">
        <f t="shared" si="1"/>
        <v>7.1031633545015307E-2</v>
      </c>
      <c r="H22" s="386">
        <f>SUM(H16:H18)</f>
        <v>2220</v>
      </c>
      <c r="I22" s="397">
        <f t="shared" si="13"/>
        <v>25862.182914336372</v>
      </c>
      <c r="J22" s="388">
        <f t="shared" ref="J22" si="15">SUM(J16:J18)</f>
        <v>22696.826116118435</v>
      </c>
      <c r="K22" s="388">
        <f t="shared" si="13"/>
        <v>26545.683872383252</v>
      </c>
      <c r="L22" s="388">
        <f t="shared" ref="L22" si="16">SUM(L16:L18)</f>
        <v>24826.835357941782</v>
      </c>
      <c r="M22" s="386">
        <f>SUM(M16:M18)</f>
        <v>24180</v>
      </c>
      <c r="N22" s="397">
        <f>AVERAGE(N16:N18)</f>
        <v>4.6286021505376338</v>
      </c>
      <c r="O22" s="388">
        <f>MAX(O16:O18)</f>
        <v>14.6</v>
      </c>
      <c r="P22" s="388">
        <f>MIN(P16:P18)</f>
        <v>-2.6</v>
      </c>
      <c r="Q22" s="388">
        <f>AVERAGE(Q16:Q18)</f>
        <v>3.83921146953405</v>
      </c>
      <c r="R22" s="386">
        <f t="shared" si="6"/>
        <v>0.78939068100358378</v>
      </c>
      <c r="S22" s="388">
        <f t="shared" ref="S22:T22" si="17">SUM(S16:S18)</f>
        <v>200.17469260506235</v>
      </c>
      <c r="T22" s="388">
        <f t="shared" si="17"/>
        <v>2188.6251540000003</v>
      </c>
      <c r="V22" s="68"/>
    </row>
    <row r="23" spans="1:22" ht="12" customHeight="1">
      <c r="A23" s="176" t="s">
        <v>58</v>
      </c>
      <c r="B23" s="220">
        <f>SUM(B7:B12)</f>
        <v>3510.308383076328</v>
      </c>
      <c r="C23" s="212">
        <f>SUM(C7:C12)</f>
        <v>3811.0580223748098</v>
      </c>
      <c r="D23" s="211">
        <f t="shared" si="7"/>
        <v>-7.8914998809457543E-2</v>
      </c>
      <c r="E23" s="212">
        <f>SUM(E7:E12)</f>
        <v>3925.1536529450941</v>
      </c>
      <c r="F23" s="212">
        <f>SUM(F7:F12)</f>
        <v>3949.3462201306738</v>
      </c>
      <c r="G23" s="211">
        <f>(E23-F23)/F23</f>
        <v>-6.1257144441439343E-3</v>
      </c>
      <c r="H23" s="223">
        <f>SUM(H7:H12)</f>
        <v>3890</v>
      </c>
      <c r="I23" s="220">
        <f t="shared" ref="I23:K23" si="18">SUM(I7:I12)</f>
        <v>38257.129743205485</v>
      </c>
      <c r="J23" s="212">
        <f t="shared" ref="J23" si="19">SUM(J7:J12)</f>
        <v>41488.53204511795</v>
      </c>
      <c r="K23" s="212">
        <f t="shared" si="18"/>
        <v>42775.385139076287</v>
      </c>
      <c r="L23" s="212">
        <f t="shared" ref="L23" si="20">SUM(L7:L12)</f>
        <v>42989.234524801272</v>
      </c>
      <c r="M23" s="223">
        <f>SUM(M7:M12)</f>
        <v>42390</v>
      </c>
      <c r="N23" s="220">
        <f>AVERAGE(N7:N12)</f>
        <v>9.3212109575012789</v>
      </c>
      <c r="O23" s="212">
        <f>MAX(O7:O12)</f>
        <v>25</v>
      </c>
      <c r="P23" s="212">
        <f>MIN(P7:P12)</f>
        <v>-9.6</v>
      </c>
      <c r="Q23" s="212">
        <f>AVERAGE(Q7:Q12)</f>
        <v>6.8135286120380663</v>
      </c>
      <c r="R23" s="223">
        <f t="shared" si="6"/>
        <v>2.5076823454632127</v>
      </c>
      <c r="S23" s="212">
        <f>SUM(S7:S12)</f>
        <v>242.8702748339991</v>
      </c>
      <c r="T23" s="212">
        <f>SUM(T7:T12)</f>
        <v>2646.5999539999993</v>
      </c>
      <c r="V23" s="68"/>
    </row>
    <row r="24" spans="1:22" ht="12" customHeight="1">
      <c r="A24" s="179" t="s">
        <v>59</v>
      </c>
      <c r="B24" s="397">
        <f>SUM(B13:B18)</f>
        <v>3256.4568018209679</v>
      </c>
      <c r="C24" s="388">
        <f>SUM(C13:C18)</f>
        <v>2947.5151724291786</v>
      </c>
      <c r="D24" s="214">
        <f t="shared" si="7"/>
        <v>0.10481426263097969</v>
      </c>
      <c r="E24" s="388">
        <f t="shared" ref="E24:K24" si="21">SUM(E13:E18)</f>
        <v>3359.5378966626004</v>
      </c>
      <c r="F24" s="388">
        <f t="shared" ref="F24" si="22">SUM(F13:F18)</f>
        <v>3203.4314460961873</v>
      </c>
      <c r="G24" s="214">
        <f t="shared" si="1"/>
        <v>4.8731010228625242E-2</v>
      </c>
      <c r="H24" s="386">
        <f>SUM(H13:H18)</f>
        <v>3130</v>
      </c>
      <c r="I24" s="397">
        <f t="shared" si="21"/>
        <v>35552.350084300109</v>
      </c>
      <c r="J24" s="388">
        <f t="shared" ref="J24" si="23">SUM(J13:J18)</f>
        <v>32253.91564699744</v>
      </c>
      <c r="K24" s="388">
        <f t="shared" si="21"/>
        <v>36678.444007448648</v>
      </c>
      <c r="L24" s="388">
        <f t="shared" ref="L24" si="24">SUM(L13:L18)</f>
        <v>35055.822297517247</v>
      </c>
      <c r="M24" s="386">
        <f>SUM(M13:M18)</f>
        <v>34090</v>
      </c>
      <c r="N24" s="397">
        <f>AVERAGE(N13:N18)</f>
        <v>11.594032258064514</v>
      </c>
      <c r="O24" s="388">
        <f>MAX(O13:O18)</f>
        <v>24.5</v>
      </c>
      <c r="P24" s="388">
        <f>MIN(P13:P18)</f>
        <v>-2.6</v>
      </c>
      <c r="Q24" s="388">
        <f>AVERAGE(Q13:Q18)</f>
        <v>10.230483870967742</v>
      </c>
      <c r="R24" s="386">
        <f t="shared" si="6"/>
        <v>1.3635483870967722</v>
      </c>
      <c r="S24" s="388">
        <f t="shared" ref="S24:T24" si="25">SUM(S13:S18)</f>
        <v>296.59294895658832</v>
      </c>
      <c r="T24" s="388">
        <f t="shared" si="25"/>
        <v>3246.5978150000001</v>
      </c>
      <c r="V24" s="68"/>
    </row>
    <row r="25" spans="1:22" ht="12" customHeight="1">
      <c r="A25" s="216" t="s">
        <v>171</v>
      </c>
      <c r="B25" s="398">
        <f>SUM(B7:B18)</f>
        <v>6766.7651848972955</v>
      </c>
      <c r="C25" s="389">
        <f>SUM(C7:C18)</f>
        <v>6758.5731948039893</v>
      </c>
      <c r="D25" s="399">
        <f t="shared" si="7"/>
        <v>1.212088684576836E-3</v>
      </c>
      <c r="E25" s="389">
        <f t="shared" ref="E25:K25" si="26">SUM(E7:E18)</f>
        <v>7284.6915496076936</v>
      </c>
      <c r="F25" s="389">
        <f t="shared" ref="F25" si="27">SUM(F7:F18)</f>
        <v>7152.7776662268625</v>
      </c>
      <c r="G25" s="399">
        <f t="shared" si="1"/>
        <v>1.8442329614645567E-2</v>
      </c>
      <c r="H25" s="387">
        <f>SUM(H7:H18)</f>
        <v>7020</v>
      </c>
      <c r="I25" s="398">
        <f t="shared" si="26"/>
        <v>73809.479827505595</v>
      </c>
      <c r="J25" s="389">
        <f t="shared" ref="J25" si="28">SUM(J7:J18)</f>
        <v>73742.447692115384</v>
      </c>
      <c r="K25" s="389">
        <f t="shared" si="26"/>
        <v>79453.829146524949</v>
      </c>
      <c r="L25" s="389">
        <f t="shared" ref="L25" si="29">SUM(L7:L18)</f>
        <v>78045.056822318511</v>
      </c>
      <c r="M25" s="387">
        <f>SUM(M7:M18)</f>
        <v>76480</v>
      </c>
      <c r="N25" s="398">
        <f>AVERAGE(N7:N18)</f>
        <v>10.457621607782896</v>
      </c>
      <c r="O25" s="389">
        <f>MAX(O7:O18)</f>
        <v>25</v>
      </c>
      <c r="P25" s="389">
        <f>MIN(P7:P18)</f>
        <v>-9.6</v>
      </c>
      <c r="Q25" s="389">
        <f>AVERAGE(Q7:Q18)</f>
        <v>8.5220062415029041</v>
      </c>
      <c r="R25" s="387">
        <f t="shared" si="6"/>
        <v>1.9356153662799915</v>
      </c>
      <c r="S25" s="389">
        <f t="shared" ref="S25:T25" si="30">SUM(S7:S18)</f>
        <v>539.46322379058745</v>
      </c>
      <c r="T25" s="389">
        <f t="shared" si="30"/>
        <v>5893.1977689999994</v>
      </c>
      <c r="V25" s="68"/>
    </row>
    <row r="26" spans="1:22" ht="11.25" customHeight="1">
      <c r="A26" s="453" t="s">
        <v>316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</row>
    <row r="27" spans="1:22" ht="15" customHeight="1">
      <c r="A27" s="452" t="s">
        <v>246</v>
      </c>
      <c r="B27" s="452"/>
      <c r="C27" s="452"/>
      <c r="D27" s="452"/>
      <c r="E27" s="452"/>
      <c r="F27" s="452"/>
      <c r="G27" s="452"/>
      <c r="H27" s="452"/>
      <c r="I27" s="452"/>
      <c r="J27" s="452" t="s">
        <v>156</v>
      </c>
      <c r="K27" s="452"/>
      <c r="L27" s="452"/>
      <c r="M27" s="452"/>
      <c r="N27" s="452"/>
      <c r="O27" s="452"/>
      <c r="P27" s="452"/>
      <c r="Q27" s="452"/>
      <c r="R27" s="452"/>
      <c r="S27" s="452"/>
      <c r="T27" s="452"/>
    </row>
    <row r="28" spans="1:22" ht="8.15" customHeight="1">
      <c r="A28" s="61"/>
      <c r="B28" s="61"/>
      <c r="C28" s="61"/>
      <c r="D28" s="61"/>
      <c r="E28" s="61" t="s">
        <v>137</v>
      </c>
      <c r="F28" s="61" t="s">
        <v>132</v>
      </c>
      <c r="G28" s="61"/>
      <c r="H28" s="61"/>
      <c r="I28" s="61"/>
      <c r="J28" s="61"/>
      <c r="K28" s="61"/>
      <c r="L28" s="61"/>
      <c r="M28" s="61"/>
      <c r="N28" s="62" t="str">
        <f>N6</f>
        <v>Průměr</v>
      </c>
      <c r="O28" s="62" t="str">
        <f>Q6</f>
        <v>Normál</v>
      </c>
      <c r="P28" s="62"/>
      <c r="Q28" s="61"/>
      <c r="R28" s="61"/>
      <c r="S28" s="61"/>
      <c r="T28" s="61"/>
    </row>
    <row r="29" spans="1:22" ht="7" customHeight="1">
      <c r="A29" s="61"/>
      <c r="B29" s="61"/>
      <c r="C29" s="61"/>
      <c r="D29" s="61" t="str">
        <f>A7</f>
        <v>Leden</v>
      </c>
      <c r="E29" s="62">
        <f>B7</f>
        <v>1051.8509986812032</v>
      </c>
      <c r="F29" s="62">
        <f>E7</f>
        <v>1084.9582110813419</v>
      </c>
      <c r="G29" s="62"/>
      <c r="H29" s="62"/>
      <c r="I29" s="61"/>
      <c r="J29" s="61"/>
      <c r="K29" s="61"/>
      <c r="L29" s="61"/>
      <c r="M29" s="61" t="str">
        <f>A7</f>
        <v>Leden</v>
      </c>
      <c r="N29" s="62">
        <f>N7</f>
        <v>-0.33870967741935487</v>
      </c>
      <c r="O29" s="62">
        <f>Q7</f>
        <v>-1.2258064516129035</v>
      </c>
      <c r="P29" s="62"/>
      <c r="Q29" s="61"/>
      <c r="R29" s="61"/>
      <c r="S29" s="61"/>
      <c r="T29" s="61"/>
    </row>
    <row r="30" spans="1:22" ht="7" customHeight="1">
      <c r="A30" s="61"/>
      <c r="B30" s="61"/>
      <c r="C30" s="61"/>
      <c r="D30" s="61" t="str">
        <f t="shared" ref="D30:D39" si="31">A8</f>
        <v>Únor</v>
      </c>
      <c r="E30" s="62">
        <f t="shared" ref="E30:E40" si="32">B8</f>
        <v>707.94480425791289</v>
      </c>
      <c r="F30" s="62">
        <f t="shared" ref="F30:F40" si="33">E8</f>
        <v>882.9526091238165</v>
      </c>
      <c r="G30" s="62"/>
      <c r="H30" s="62"/>
      <c r="I30" s="61"/>
      <c r="J30" s="61"/>
      <c r="K30" s="61"/>
      <c r="L30" s="61"/>
      <c r="M30" s="61" t="str">
        <f t="shared" ref="M30:M40" si="34">A8</f>
        <v>Únor</v>
      </c>
      <c r="N30" s="62">
        <f t="shared" ref="N30:N40" si="35">N8</f>
        <v>5.8928571428571415</v>
      </c>
      <c r="O30" s="62">
        <f t="shared" ref="O30:O40" si="36">Q8</f>
        <v>-0.15517241379310354</v>
      </c>
      <c r="P30" s="62"/>
      <c r="Q30" s="61"/>
      <c r="R30" s="61"/>
      <c r="S30" s="61"/>
      <c r="T30" s="61"/>
    </row>
    <row r="31" spans="1:22" ht="7" customHeight="1">
      <c r="A31" s="61"/>
      <c r="B31" s="61"/>
      <c r="C31" s="61"/>
      <c r="D31" s="61" t="str">
        <f t="shared" si="31"/>
        <v>Březen</v>
      </c>
      <c r="E31" s="62">
        <f t="shared" si="32"/>
        <v>655.0035079944048</v>
      </c>
      <c r="F31" s="62">
        <f t="shared" si="33"/>
        <v>785.93616741470794</v>
      </c>
      <c r="G31" s="62"/>
      <c r="H31" s="62"/>
      <c r="I31" s="61"/>
      <c r="J31" s="61"/>
      <c r="K31" s="61"/>
      <c r="L31" s="61"/>
      <c r="M31" s="61" t="str">
        <f t="shared" si="34"/>
        <v>Březen</v>
      </c>
      <c r="N31" s="62">
        <f t="shared" si="35"/>
        <v>7.2451612903225797</v>
      </c>
      <c r="O31" s="62">
        <f t="shared" si="36"/>
        <v>3.512903225806451</v>
      </c>
      <c r="P31" s="62"/>
      <c r="Q31" s="61"/>
      <c r="R31" s="61"/>
      <c r="S31" s="61"/>
      <c r="T31" s="61"/>
    </row>
    <row r="32" spans="1:22" ht="7" customHeight="1">
      <c r="A32" s="61"/>
      <c r="B32" s="61"/>
      <c r="C32" s="61"/>
      <c r="D32" s="61" t="str">
        <f t="shared" si="31"/>
        <v>Duben</v>
      </c>
      <c r="E32" s="62">
        <f t="shared" si="32"/>
        <v>474.79681431326793</v>
      </c>
      <c r="F32" s="62">
        <f t="shared" si="33"/>
        <v>523.42919642256436</v>
      </c>
      <c r="G32" s="62"/>
      <c r="H32" s="62"/>
      <c r="I32" s="61"/>
      <c r="J32" s="61"/>
      <c r="K32" s="61"/>
      <c r="L32" s="61"/>
      <c r="M32" s="61" t="str">
        <f t="shared" si="34"/>
        <v>Duben</v>
      </c>
      <c r="N32" s="62">
        <f t="shared" si="35"/>
        <v>10.256666666666664</v>
      </c>
      <c r="O32" s="62">
        <f t="shared" si="36"/>
        <v>8.6366666666666667</v>
      </c>
      <c r="P32" s="62"/>
      <c r="Q32" s="61"/>
      <c r="R32" s="61"/>
      <c r="S32" s="61"/>
      <c r="T32" s="61"/>
    </row>
    <row r="33" spans="1:20" ht="7" customHeight="1">
      <c r="A33" s="61"/>
      <c r="B33" s="61"/>
      <c r="C33" s="61"/>
      <c r="D33" s="61" t="str">
        <f t="shared" si="31"/>
        <v>Květen</v>
      </c>
      <c r="E33" s="62">
        <f t="shared" si="32"/>
        <v>326.62957502353277</v>
      </c>
      <c r="F33" s="62">
        <f t="shared" si="33"/>
        <v>348.29453318579641</v>
      </c>
      <c r="G33" s="62"/>
      <c r="H33" s="62"/>
      <c r="I33" s="61"/>
      <c r="J33" s="61"/>
      <c r="K33" s="61"/>
      <c r="L33" s="61"/>
      <c r="M33" s="61" t="str">
        <f t="shared" si="34"/>
        <v>Květen</v>
      </c>
      <c r="N33" s="62">
        <f t="shared" si="35"/>
        <v>14.761290322580647</v>
      </c>
      <c r="O33" s="62">
        <f t="shared" si="36"/>
        <v>13.522580645161288</v>
      </c>
      <c r="P33" s="62"/>
      <c r="Q33" s="61"/>
      <c r="R33" s="61"/>
      <c r="S33" s="61"/>
      <c r="T33" s="61"/>
    </row>
    <row r="34" spans="1:20" ht="7" customHeight="1">
      <c r="A34" s="61"/>
      <c r="B34" s="61"/>
      <c r="C34" s="61"/>
      <c r="D34" s="61" t="str">
        <f t="shared" si="31"/>
        <v>Červen</v>
      </c>
      <c r="E34" s="62">
        <f t="shared" si="32"/>
        <v>294.08268280600646</v>
      </c>
      <c r="F34" s="62">
        <f t="shared" si="33"/>
        <v>299.58293571686659</v>
      </c>
      <c r="G34" s="62"/>
      <c r="H34" s="62"/>
      <c r="I34" s="61"/>
      <c r="J34" s="61"/>
      <c r="K34" s="61"/>
      <c r="L34" s="61"/>
      <c r="M34" s="61" t="str">
        <f t="shared" si="34"/>
        <v>Červen</v>
      </c>
      <c r="N34" s="62">
        <f t="shared" si="35"/>
        <v>18.109999999999996</v>
      </c>
      <c r="O34" s="62">
        <f t="shared" si="36"/>
        <v>16.59</v>
      </c>
      <c r="P34" s="62"/>
      <c r="Q34" s="61"/>
      <c r="R34" s="61"/>
      <c r="S34" s="61"/>
      <c r="T34" s="61"/>
    </row>
    <row r="35" spans="1:20" ht="7" customHeight="1">
      <c r="A35" s="61"/>
      <c r="B35" s="61"/>
      <c r="C35" s="61"/>
      <c r="D35" s="61" t="str">
        <f t="shared" si="31"/>
        <v>Červenec</v>
      </c>
      <c r="E35" s="62">
        <f t="shared" si="32"/>
        <v>269.85784670868031</v>
      </c>
      <c r="F35" s="62">
        <f t="shared" si="33"/>
        <v>276.58693408234467</v>
      </c>
      <c r="G35" s="62"/>
      <c r="H35" s="62"/>
      <c r="I35" s="61"/>
      <c r="J35" s="61"/>
      <c r="K35" s="61"/>
      <c r="L35" s="61"/>
      <c r="M35" s="61" t="str">
        <f t="shared" si="34"/>
        <v>Červenec</v>
      </c>
      <c r="N35" s="62">
        <f t="shared" si="35"/>
        <v>20.032258064516132</v>
      </c>
      <c r="O35" s="62">
        <f t="shared" si="36"/>
        <v>18.522580645161291</v>
      </c>
      <c r="P35" s="62"/>
      <c r="Q35" s="61"/>
      <c r="R35" s="61"/>
      <c r="S35" s="61"/>
      <c r="T35" s="61"/>
    </row>
    <row r="36" spans="1:20" ht="7" customHeight="1">
      <c r="A36" s="61"/>
      <c r="B36" s="61"/>
      <c r="C36" s="61"/>
      <c r="D36" s="61" t="str">
        <f t="shared" si="31"/>
        <v>Srpen</v>
      </c>
      <c r="E36" s="62">
        <f t="shared" si="32"/>
        <v>280.15222038277369</v>
      </c>
      <c r="F36" s="62">
        <f t="shared" si="33"/>
        <v>288.50439631378231</v>
      </c>
      <c r="G36" s="62"/>
      <c r="H36" s="62"/>
      <c r="I36" s="61"/>
      <c r="J36" s="61"/>
      <c r="K36" s="61"/>
      <c r="L36" s="61"/>
      <c r="M36" s="61" t="str">
        <f t="shared" si="34"/>
        <v>Srpen</v>
      </c>
      <c r="N36" s="62">
        <f t="shared" si="35"/>
        <v>20.416129032258063</v>
      </c>
      <c r="O36" s="62">
        <f t="shared" si="36"/>
        <v>18.119354838709679</v>
      </c>
      <c r="P36" s="62"/>
      <c r="Q36" s="61"/>
      <c r="R36" s="61"/>
      <c r="S36" s="61"/>
      <c r="T36" s="61"/>
    </row>
    <row r="37" spans="1:20" ht="7" customHeight="1">
      <c r="A37" s="61"/>
      <c r="B37" s="61"/>
      <c r="C37" s="61"/>
      <c r="D37" s="61" t="str">
        <f t="shared" si="31"/>
        <v>Září</v>
      </c>
      <c r="E37" s="62">
        <f t="shared" si="32"/>
        <v>336.54394803244486</v>
      </c>
      <c r="F37" s="62">
        <f t="shared" si="33"/>
        <v>361.93390634522922</v>
      </c>
      <c r="G37" s="62"/>
      <c r="H37" s="62"/>
      <c r="I37" s="61"/>
      <c r="J37" s="61"/>
      <c r="K37" s="61"/>
      <c r="L37" s="61"/>
      <c r="M37" s="61" t="str">
        <f t="shared" si="34"/>
        <v>Září</v>
      </c>
      <c r="N37" s="62">
        <f t="shared" si="35"/>
        <v>15.229999999999999</v>
      </c>
      <c r="O37" s="62">
        <f t="shared" si="36"/>
        <v>13.223333333333333</v>
      </c>
      <c r="P37" s="62"/>
      <c r="Q37" s="61"/>
      <c r="R37" s="61"/>
      <c r="S37" s="61"/>
      <c r="T37" s="61"/>
    </row>
    <row r="38" spans="1:20" ht="7" customHeight="1">
      <c r="A38" s="61"/>
      <c r="B38" s="61"/>
      <c r="C38" s="61"/>
      <c r="D38" s="61" t="str">
        <f t="shared" si="31"/>
        <v>Říjen</v>
      </c>
      <c r="E38" s="62">
        <f t="shared" si="32"/>
        <v>555.18162526233971</v>
      </c>
      <c r="F38" s="62">
        <f t="shared" si="33"/>
        <v>593.36219588806307</v>
      </c>
      <c r="G38" s="62"/>
      <c r="H38" s="62"/>
      <c r="I38" s="61"/>
      <c r="J38" s="61"/>
      <c r="K38" s="61"/>
      <c r="L38" s="61"/>
      <c r="M38" s="61" t="str">
        <f t="shared" si="34"/>
        <v>Říjen</v>
      </c>
      <c r="N38" s="62">
        <f t="shared" si="35"/>
        <v>9.9064516129032238</v>
      </c>
      <c r="O38" s="62">
        <f t="shared" si="36"/>
        <v>8.3548387096774199</v>
      </c>
      <c r="P38" s="62"/>
      <c r="Q38" s="61"/>
      <c r="R38" s="61"/>
      <c r="S38" s="61"/>
      <c r="T38" s="61"/>
    </row>
    <row r="39" spans="1:20" ht="7" customHeight="1">
      <c r="A39" s="61"/>
      <c r="B39" s="61"/>
      <c r="C39" s="61"/>
      <c r="D39" s="61" t="str">
        <f t="shared" si="31"/>
        <v>Listopad</v>
      </c>
      <c r="E39" s="62">
        <f t="shared" si="32"/>
        <v>865.4774527318192</v>
      </c>
      <c r="F39" s="62">
        <f t="shared" si="33"/>
        <v>843.13227405655152</v>
      </c>
      <c r="G39" s="61"/>
      <c r="H39" s="61"/>
      <c r="I39" s="61"/>
      <c r="J39" s="61"/>
      <c r="K39" s="61"/>
      <c r="L39" s="61"/>
      <c r="M39" s="61" t="str">
        <f t="shared" si="34"/>
        <v>Listopad</v>
      </c>
      <c r="N39" s="62">
        <f t="shared" si="35"/>
        <v>2.9600000000000004</v>
      </c>
      <c r="O39" s="62">
        <f t="shared" si="36"/>
        <v>3.5466666666666664</v>
      </c>
      <c r="P39" s="61"/>
      <c r="Q39" s="61"/>
      <c r="R39" s="61"/>
      <c r="S39" s="61"/>
      <c r="T39" s="61"/>
    </row>
    <row r="40" spans="1:20" ht="7" customHeight="1">
      <c r="A40" s="61"/>
      <c r="B40" s="61"/>
      <c r="C40" s="61"/>
      <c r="D40" s="61" t="str">
        <f>A18</f>
        <v>Prosinec</v>
      </c>
      <c r="E40" s="62">
        <f t="shared" si="32"/>
        <v>949.24370870291034</v>
      </c>
      <c r="F40" s="62">
        <f t="shared" si="33"/>
        <v>996.0181899766294</v>
      </c>
      <c r="G40" s="61"/>
      <c r="H40" s="61"/>
      <c r="I40" s="61"/>
      <c r="J40" s="61"/>
      <c r="K40" s="61"/>
      <c r="L40" s="61"/>
      <c r="M40" s="61" t="str">
        <f t="shared" si="34"/>
        <v>Prosinec</v>
      </c>
      <c r="N40" s="62">
        <f t="shared" si="35"/>
        <v>1.0193548387096774</v>
      </c>
      <c r="O40" s="62">
        <f t="shared" si="36"/>
        <v>-0.38387096774193558</v>
      </c>
      <c r="P40" s="61"/>
      <c r="Q40" s="61"/>
      <c r="R40" s="61"/>
      <c r="S40" s="61"/>
      <c r="T40" s="61"/>
    </row>
    <row r="41" spans="1:20" ht="12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</row>
    <row r="42" spans="1:20" ht="12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</row>
    <row r="43" spans="1:20" ht="12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</row>
    <row r="54" spans="9:10">
      <c r="I54" s="63"/>
      <c r="J54" s="63"/>
    </row>
    <row r="56" spans="9:10">
      <c r="I56" s="68"/>
      <c r="J56" s="68"/>
    </row>
  </sheetData>
  <mergeCells count="12">
    <mergeCell ref="A27:I27"/>
    <mergeCell ref="J27:T27"/>
    <mergeCell ref="A26:T26"/>
    <mergeCell ref="B5:D5"/>
    <mergeCell ref="E5:G5"/>
    <mergeCell ref="S5:T6"/>
    <mergeCell ref="I4:M4"/>
    <mergeCell ref="N4:R4"/>
    <mergeCell ref="N5:R5"/>
    <mergeCell ref="B4:H4"/>
    <mergeCell ref="I5:J5"/>
    <mergeCell ref="K5:L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B19:T21 B23:T25 B22:M22 O22:T2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AJ44"/>
  <sheetViews>
    <sheetView showGridLines="0" zoomScaleNormal="100" zoomScaleSheetLayoutView="100" workbookViewId="0">
      <selection activeCell="D1" sqref="D1"/>
    </sheetView>
  </sheetViews>
  <sheetFormatPr defaultRowHeight="10"/>
  <cols>
    <col min="1" max="1" width="8.26953125" style="12" customWidth="1"/>
    <col min="2" max="3" width="5.453125" style="12" customWidth="1"/>
    <col min="4" max="4" width="6.54296875" style="12" customWidth="1"/>
    <col min="5" max="5" width="7.7265625" style="12" customWidth="1"/>
    <col min="6" max="6" width="4.1796875" style="12" customWidth="1"/>
    <col min="7" max="7" width="7.7265625" style="12" customWidth="1"/>
    <col min="8" max="13" width="6.7265625" style="12" customWidth="1"/>
    <col min="14" max="14" width="7.54296875" style="12" customWidth="1"/>
    <col min="15" max="18" width="7.26953125" style="12" customWidth="1"/>
    <col min="19" max="20" width="6.7265625" style="12" customWidth="1"/>
    <col min="21" max="21" width="8" style="12" customWidth="1"/>
    <col min="22" max="22" width="9.26953125" style="12" bestFit="1" customWidth="1"/>
    <col min="23" max="23" width="11.453125" style="12" bestFit="1" customWidth="1"/>
    <col min="24" max="262" width="9.1796875" style="12"/>
    <col min="263" max="275" width="10.7265625" style="12" customWidth="1"/>
    <col min="276" max="518" width="9.1796875" style="12"/>
    <col min="519" max="531" width="10.7265625" style="12" customWidth="1"/>
    <col min="532" max="774" width="9.1796875" style="12"/>
    <col min="775" max="787" width="10.7265625" style="12" customWidth="1"/>
    <col min="788" max="1030" width="9.1796875" style="12"/>
    <col min="1031" max="1043" width="10.7265625" style="12" customWidth="1"/>
    <col min="1044" max="1286" width="9.1796875" style="12"/>
    <col min="1287" max="1299" width="10.7265625" style="12" customWidth="1"/>
    <col min="1300" max="1542" width="9.1796875" style="12"/>
    <col min="1543" max="1555" width="10.7265625" style="12" customWidth="1"/>
    <col min="1556" max="1798" width="9.1796875" style="12"/>
    <col min="1799" max="1811" width="10.7265625" style="12" customWidth="1"/>
    <col min="1812" max="2054" width="9.1796875" style="12"/>
    <col min="2055" max="2067" width="10.7265625" style="12" customWidth="1"/>
    <col min="2068" max="2310" width="9.1796875" style="12"/>
    <col min="2311" max="2323" width="10.7265625" style="12" customWidth="1"/>
    <col min="2324" max="2566" width="9.1796875" style="12"/>
    <col min="2567" max="2579" width="10.7265625" style="12" customWidth="1"/>
    <col min="2580" max="2822" width="9.1796875" style="12"/>
    <col min="2823" max="2835" width="10.7265625" style="12" customWidth="1"/>
    <col min="2836" max="3078" width="9.1796875" style="12"/>
    <col min="3079" max="3091" width="10.7265625" style="12" customWidth="1"/>
    <col min="3092" max="3334" width="9.1796875" style="12"/>
    <col min="3335" max="3347" width="10.7265625" style="12" customWidth="1"/>
    <col min="3348" max="3590" width="9.1796875" style="12"/>
    <col min="3591" max="3603" width="10.7265625" style="12" customWidth="1"/>
    <col min="3604" max="3846" width="9.1796875" style="12"/>
    <col min="3847" max="3859" width="10.7265625" style="12" customWidth="1"/>
    <col min="3860" max="4102" width="9.1796875" style="12"/>
    <col min="4103" max="4115" width="10.7265625" style="12" customWidth="1"/>
    <col min="4116" max="4358" width="9.1796875" style="12"/>
    <col min="4359" max="4371" width="10.7265625" style="12" customWidth="1"/>
    <col min="4372" max="4614" width="9.1796875" style="12"/>
    <col min="4615" max="4627" width="10.7265625" style="12" customWidth="1"/>
    <col min="4628" max="4870" width="9.1796875" style="12"/>
    <col min="4871" max="4883" width="10.7265625" style="12" customWidth="1"/>
    <col min="4884" max="5126" width="9.1796875" style="12"/>
    <col min="5127" max="5139" width="10.7265625" style="12" customWidth="1"/>
    <col min="5140" max="5382" width="9.1796875" style="12"/>
    <col min="5383" max="5395" width="10.7265625" style="12" customWidth="1"/>
    <col min="5396" max="5638" width="9.1796875" style="12"/>
    <col min="5639" max="5651" width="10.7265625" style="12" customWidth="1"/>
    <col min="5652" max="5894" width="9.1796875" style="12"/>
    <col min="5895" max="5907" width="10.7265625" style="12" customWidth="1"/>
    <col min="5908" max="6150" width="9.1796875" style="12"/>
    <col min="6151" max="6163" width="10.7265625" style="12" customWidth="1"/>
    <col min="6164" max="6406" width="9.1796875" style="12"/>
    <col min="6407" max="6419" width="10.7265625" style="12" customWidth="1"/>
    <col min="6420" max="6662" width="9.1796875" style="12"/>
    <col min="6663" max="6675" width="10.7265625" style="12" customWidth="1"/>
    <col min="6676" max="6918" width="9.1796875" style="12"/>
    <col min="6919" max="6931" width="10.7265625" style="12" customWidth="1"/>
    <col min="6932" max="7174" width="9.1796875" style="12"/>
    <col min="7175" max="7187" width="10.7265625" style="12" customWidth="1"/>
    <col min="7188" max="7430" width="9.1796875" style="12"/>
    <col min="7431" max="7443" width="10.7265625" style="12" customWidth="1"/>
    <col min="7444" max="7686" width="9.1796875" style="12"/>
    <col min="7687" max="7699" width="10.7265625" style="12" customWidth="1"/>
    <col min="7700" max="7942" width="9.1796875" style="12"/>
    <col min="7943" max="7955" width="10.7265625" style="12" customWidth="1"/>
    <col min="7956" max="8198" width="9.1796875" style="12"/>
    <col min="8199" max="8211" width="10.7265625" style="12" customWidth="1"/>
    <col min="8212" max="8454" width="9.1796875" style="12"/>
    <col min="8455" max="8467" width="10.7265625" style="12" customWidth="1"/>
    <col min="8468" max="8710" width="9.1796875" style="12"/>
    <col min="8711" max="8723" width="10.7265625" style="12" customWidth="1"/>
    <col min="8724" max="8966" width="9.1796875" style="12"/>
    <col min="8967" max="8979" width="10.7265625" style="12" customWidth="1"/>
    <col min="8980" max="9222" width="9.1796875" style="12"/>
    <col min="9223" max="9235" width="10.7265625" style="12" customWidth="1"/>
    <col min="9236" max="9478" width="9.1796875" style="12"/>
    <col min="9479" max="9491" width="10.7265625" style="12" customWidth="1"/>
    <col min="9492" max="9734" width="9.1796875" style="12"/>
    <col min="9735" max="9747" width="10.7265625" style="12" customWidth="1"/>
    <col min="9748" max="9990" width="9.1796875" style="12"/>
    <col min="9991" max="10003" width="10.7265625" style="12" customWidth="1"/>
    <col min="10004" max="10246" width="9.1796875" style="12"/>
    <col min="10247" max="10259" width="10.7265625" style="12" customWidth="1"/>
    <col min="10260" max="10502" width="9.1796875" style="12"/>
    <col min="10503" max="10515" width="10.7265625" style="12" customWidth="1"/>
    <col min="10516" max="10758" width="9.1796875" style="12"/>
    <col min="10759" max="10771" width="10.7265625" style="12" customWidth="1"/>
    <col min="10772" max="11014" width="9.1796875" style="12"/>
    <col min="11015" max="11027" width="10.7265625" style="12" customWidth="1"/>
    <col min="11028" max="11270" width="9.1796875" style="12"/>
    <col min="11271" max="11283" width="10.7265625" style="12" customWidth="1"/>
    <col min="11284" max="11526" width="9.1796875" style="12"/>
    <col min="11527" max="11539" width="10.7265625" style="12" customWidth="1"/>
    <col min="11540" max="11782" width="9.1796875" style="12"/>
    <col min="11783" max="11795" width="10.7265625" style="12" customWidth="1"/>
    <col min="11796" max="12038" width="9.1796875" style="12"/>
    <col min="12039" max="12051" width="10.7265625" style="12" customWidth="1"/>
    <col min="12052" max="12294" width="9.1796875" style="12"/>
    <col min="12295" max="12307" width="10.7265625" style="12" customWidth="1"/>
    <col min="12308" max="12550" width="9.1796875" style="12"/>
    <col min="12551" max="12563" width="10.7265625" style="12" customWidth="1"/>
    <col min="12564" max="12806" width="9.1796875" style="12"/>
    <col min="12807" max="12819" width="10.7265625" style="12" customWidth="1"/>
    <col min="12820" max="13062" width="9.1796875" style="12"/>
    <col min="13063" max="13075" width="10.7265625" style="12" customWidth="1"/>
    <col min="13076" max="13318" width="9.1796875" style="12"/>
    <col min="13319" max="13331" width="10.7265625" style="12" customWidth="1"/>
    <col min="13332" max="13574" width="9.1796875" style="12"/>
    <col min="13575" max="13587" width="10.7265625" style="12" customWidth="1"/>
    <col min="13588" max="13830" width="9.1796875" style="12"/>
    <col min="13831" max="13843" width="10.7265625" style="12" customWidth="1"/>
    <col min="13844" max="14086" width="9.1796875" style="12"/>
    <col min="14087" max="14099" width="10.7265625" style="12" customWidth="1"/>
    <col min="14100" max="14342" width="9.1796875" style="12"/>
    <col min="14343" max="14355" width="10.7265625" style="12" customWidth="1"/>
    <col min="14356" max="14598" width="9.1796875" style="12"/>
    <col min="14599" max="14611" width="10.7265625" style="12" customWidth="1"/>
    <col min="14612" max="14854" width="9.1796875" style="12"/>
    <col min="14855" max="14867" width="10.7265625" style="12" customWidth="1"/>
    <col min="14868" max="15110" width="9.1796875" style="12"/>
    <col min="15111" max="15123" width="10.7265625" style="12" customWidth="1"/>
    <col min="15124" max="15366" width="9.1796875" style="12"/>
    <col min="15367" max="15379" width="10.7265625" style="12" customWidth="1"/>
    <col min="15380" max="15622" width="9.1796875" style="12"/>
    <col min="15623" max="15635" width="10.7265625" style="12" customWidth="1"/>
    <col min="15636" max="15878" width="9.1796875" style="12"/>
    <col min="15879" max="15891" width="10.7265625" style="12" customWidth="1"/>
    <col min="15892" max="16134" width="9.1796875" style="12"/>
    <col min="16135" max="16147" width="10.7265625" style="12" customWidth="1"/>
    <col min="16148" max="16384" width="9.1796875" style="12"/>
  </cols>
  <sheetData>
    <row r="1" spans="1:36" ht="18">
      <c r="A1" s="441" t="s">
        <v>291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36" ht="6" customHeight="1">
      <c r="A2" s="237"/>
      <c r="B2" s="455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U2" s="456"/>
    </row>
    <row r="3" spans="1:36" ht="18" customHeight="1">
      <c r="A3" s="248">
        <f>'3.1'!A4</f>
        <v>2024</v>
      </c>
      <c r="B3" s="447" t="s">
        <v>158</v>
      </c>
      <c r="C3" s="450"/>
      <c r="D3" s="450"/>
      <c r="E3" s="450"/>
      <c r="F3" s="450"/>
      <c r="G3" s="449"/>
      <c r="H3" s="450" t="s">
        <v>60</v>
      </c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</row>
    <row r="4" spans="1:36" ht="18" customHeight="1">
      <c r="A4" s="210"/>
      <c r="B4" s="245"/>
      <c r="C4" s="246"/>
      <c r="D4" s="246"/>
      <c r="E4" s="246"/>
      <c r="F4" s="246"/>
      <c r="G4" s="247"/>
      <c r="H4" s="249" t="s">
        <v>256</v>
      </c>
      <c r="I4" s="249"/>
      <c r="J4" s="249"/>
      <c r="K4" s="249"/>
      <c r="L4" s="249"/>
      <c r="M4" s="457" t="s">
        <v>262</v>
      </c>
      <c r="N4" s="249"/>
      <c r="O4" s="250" t="s">
        <v>214</v>
      </c>
      <c r="P4" s="249"/>
      <c r="Q4" s="249"/>
      <c r="R4" s="249"/>
      <c r="S4" s="249"/>
      <c r="T4" s="457" t="s">
        <v>262</v>
      </c>
      <c r="U4" s="249"/>
    </row>
    <row r="5" spans="1:36" ht="16.5" customHeight="1">
      <c r="A5" s="213"/>
      <c r="B5" s="231" t="s">
        <v>4</v>
      </c>
      <c r="C5" s="232" t="s">
        <v>5</v>
      </c>
      <c r="D5" s="194" t="s">
        <v>6</v>
      </c>
      <c r="E5" s="232" t="s">
        <v>7</v>
      </c>
      <c r="F5" s="232" t="s">
        <v>92</v>
      </c>
      <c r="G5" s="233" t="s">
        <v>0</v>
      </c>
      <c r="H5" s="232" t="s">
        <v>4</v>
      </c>
      <c r="I5" s="232" t="s">
        <v>5</v>
      </c>
      <c r="J5" s="194" t="s">
        <v>6</v>
      </c>
      <c r="K5" s="232" t="s">
        <v>7</v>
      </c>
      <c r="L5" s="232" t="s">
        <v>92</v>
      </c>
      <c r="M5" s="458"/>
      <c r="N5" s="232" t="s">
        <v>0</v>
      </c>
      <c r="O5" s="231" t="s">
        <v>4</v>
      </c>
      <c r="P5" s="232" t="s">
        <v>5</v>
      </c>
      <c r="Q5" s="194" t="s">
        <v>6</v>
      </c>
      <c r="R5" s="232" t="s">
        <v>7</v>
      </c>
      <c r="S5" s="232" t="s">
        <v>92</v>
      </c>
      <c r="T5" s="458"/>
      <c r="U5" s="232" t="s">
        <v>0</v>
      </c>
    </row>
    <row r="6" spans="1:36" ht="13" customHeight="1">
      <c r="A6" s="176" t="s">
        <v>159</v>
      </c>
      <c r="B6" s="240">
        <v>1548</v>
      </c>
      <c r="C6" s="235">
        <v>6077</v>
      </c>
      <c r="D6" s="236">
        <v>202192</v>
      </c>
      <c r="E6" s="236">
        <v>2540139</v>
      </c>
      <c r="F6" s="236">
        <v>278</v>
      </c>
      <c r="G6" s="242">
        <v>2750234</v>
      </c>
      <c r="H6" s="177">
        <v>382.52765231841204</v>
      </c>
      <c r="I6" s="177">
        <v>106.709627556996</v>
      </c>
      <c r="J6" s="178">
        <v>192.67292802533004</v>
      </c>
      <c r="K6" s="178">
        <v>350.46454600796898</v>
      </c>
      <c r="L6" s="178">
        <v>7.8849768933910003</v>
      </c>
      <c r="M6" s="178">
        <v>11.59129548490569</v>
      </c>
      <c r="N6" s="178">
        <v>1051.8510262870036</v>
      </c>
      <c r="O6" s="183">
        <v>4168.85133649</v>
      </c>
      <c r="P6" s="177">
        <v>1162.89294417</v>
      </c>
      <c r="Q6" s="178">
        <v>2099.5875926137551</v>
      </c>
      <c r="R6" s="178">
        <v>3819.0342502951903</v>
      </c>
      <c r="S6" s="178">
        <v>85.902997389999996</v>
      </c>
      <c r="T6" s="178">
        <v>126.46658553266802</v>
      </c>
      <c r="U6" s="178">
        <v>11462.735706491612</v>
      </c>
      <c r="V6" s="56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</row>
    <row r="7" spans="1:36" ht="13" customHeight="1">
      <c r="A7" s="176" t="s">
        <v>160</v>
      </c>
      <c r="B7" s="240">
        <v>1548</v>
      </c>
      <c r="C7" s="236">
        <v>6071</v>
      </c>
      <c r="D7" s="236">
        <v>202045</v>
      </c>
      <c r="E7" s="236">
        <v>2537765</v>
      </c>
      <c r="F7" s="236">
        <v>278</v>
      </c>
      <c r="G7" s="242">
        <v>2747707</v>
      </c>
      <c r="H7" s="177">
        <v>281.25152734882994</v>
      </c>
      <c r="I7" s="178">
        <v>70.568061602554991</v>
      </c>
      <c r="J7" s="178">
        <v>118.75824651466502</v>
      </c>
      <c r="K7" s="178">
        <v>214.69217283203403</v>
      </c>
      <c r="L7" s="178">
        <v>7.3014021622570011</v>
      </c>
      <c r="M7" s="178">
        <v>15.373306542064</v>
      </c>
      <c r="N7" s="178">
        <v>707.94471700240501</v>
      </c>
      <c r="O7" s="183">
        <v>3062.9331973560002</v>
      </c>
      <c r="P7" s="178">
        <v>768.80139308000003</v>
      </c>
      <c r="Q7" s="178">
        <v>1293.6089623508872</v>
      </c>
      <c r="R7" s="178">
        <v>2338.3255160071549</v>
      </c>
      <c r="S7" s="178">
        <v>79.508402719999992</v>
      </c>
      <c r="T7" s="178">
        <v>167.95262044207703</v>
      </c>
      <c r="U7" s="178">
        <v>7711.1300919561181</v>
      </c>
      <c r="V7" s="58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</row>
    <row r="8" spans="1:36" ht="13" customHeight="1">
      <c r="A8" s="179" t="s">
        <v>161</v>
      </c>
      <c r="B8" s="241">
        <v>1541</v>
      </c>
      <c r="C8" s="239">
        <v>6018</v>
      </c>
      <c r="D8" s="239">
        <v>201951</v>
      </c>
      <c r="E8" s="239">
        <v>2534993</v>
      </c>
      <c r="F8" s="239">
        <v>277</v>
      </c>
      <c r="G8" s="243">
        <v>2744780</v>
      </c>
      <c r="H8" s="180">
        <v>287.29503820459399</v>
      </c>
      <c r="I8" s="181">
        <v>62.788242370287996</v>
      </c>
      <c r="J8" s="181">
        <v>104.00309048247901</v>
      </c>
      <c r="K8" s="181">
        <v>181.03398005336001</v>
      </c>
      <c r="L8" s="181">
        <v>7.5902210650469994</v>
      </c>
      <c r="M8" s="181">
        <v>12.292972791310667</v>
      </c>
      <c r="N8" s="181">
        <v>655.0035449670786</v>
      </c>
      <c r="O8" s="184">
        <v>3125.9669880960005</v>
      </c>
      <c r="P8" s="181">
        <v>682.94780813</v>
      </c>
      <c r="Q8" s="181">
        <v>1131.0509448609041</v>
      </c>
      <c r="R8" s="181">
        <v>1968.73388101304</v>
      </c>
      <c r="S8" s="181">
        <v>82.527548019999998</v>
      </c>
      <c r="T8" s="181">
        <v>133.88976201417103</v>
      </c>
      <c r="U8" s="181">
        <v>7125.116932134114</v>
      </c>
      <c r="V8" s="59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</row>
    <row r="9" spans="1:36" ht="13" customHeight="1">
      <c r="A9" s="176" t="s">
        <v>162</v>
      </c>
      <c r="B9" s="240">
        <v>1544</v>
      </c>
      <c r="C9" s="236">
        <v>6014</v>
      </c>
      <c r="D9" s="236">
        <v>201781</v>
      </c>
      <c r="E9" s="236">
        <v>2532909</v>
      </c>
      <c r="F9" s="236">
        <v>280</v>
      </c>
      <c r="G9" s="242">
        <v>2742528</v>
      </c>
      <c r="H9" s="177">
        <v>239.20810456944901</v>
      </c>
      <c r="I9" s="178">
        <v>45.967121545478001</v>
      </c>
      <c r="J9" s="178">
        <v>64.257561467358002</v>
      </c>
      <c r="K9" s="178">
        <v>114.47060567339298</v>
      </c>
      <c r="L9" s="178">
        <v>7.5581273694849997</v>
      </c>
      <c r="M9" s="178">
        <v>3.3355741781400003</v>
      </c>
      <c r="N9" s="178">
        <v>474.79709480330303</v>
      </c>
      <c r="O9" s="183">
        <v>2606.1887080039996</v>
      </c>
      <c r="P9" s="178">
        <v>500.72075177000005</v>
      </c>
      <c r="Q9" s="178">
        <v>699.92607747005695</v>
      </c>
      <c r="R9" s="178">
        <v>1246.4578642529168</v>
      </c>
      <c r="S9" s="178">
        <v>82.300957890000021</v>
      </c>
      <c r="T9" s="178">
        <v>36.443256510075003</v>
      </c>
      <c r="U9" s="178">
        <v>5172.0376158970485</v>
      </c>
      <c r="V9" s="58"/>
      <c r="W9" s="57"/>
      <c r="X9" s="57"/>
      <c r="Y9" s="57"/>
    </row>
    <row r="10" spans="1:36" ht="13" customHeight="1">
      <c r="A10" s="176" t="s">
        <v>163</v>
      </c>
      <c r="B10" s="240">
        <v>1527</v>
      </c>
      <c r="C10" s="236">
        <v>6033</v>
      </c>
      <c r="D10" s="236">
        <v>201492</v>
      </c>
      <c r="E10" s="236">
        <v>2530164</v>
      </c>
      <c r="F10" s="236">
        <v>280</v>
      </c>
      <c r="G10" s="242">
        <v>2739496</v>
      </c>
      <c r="H10" s="177">
        <v>217.79730362426204</v>
      </c>
      <c r="I10" s="178">
        <v>27.390113100456002</v>
      </c>
      <c r="J10" s="178">
        <v>25.137094766007998</v>
      </c>
      <c r="K10" s="178">
        <v>45.168288347245003</v>
      </c>
      <c r="L10" s="178">
        <v>7.7755499189749999</v>
      </c>
      <c r="M10" s="178">
        <v>3.3611665454200002</v>
      </c>
      <c r="N10" s="178">
        <v>326.62951630236603</v>
      </c>
      <c r="O10" s="183">
        <v>2383.8687740929995</v>
      </c>
      <c r="P10" s="178">
        <v>299.76640349000002</v>
      </c>
      <c r="Q10" s="178">
        <v>275.07870283768904</v>
      </c>
      <c r="R10" s="178">
        <v>494.37141270932705</v>
      </c>
      <c r="S10" s="178">
        <v>85.077639429999991</v>
      </c>
      <c r="T10" s="178">
        <v>36.911552890651144</v>
      </c>
      <c r="U10" s="178">
        <v>3575.0744854506661</v>
      </c>
      <c r="V10" s="58"/>
      <c r="W10" s="57"/>
      <c r="X10" s="57"/>
      <c r="Y10" s="57"/>
    </row>
    <row r="11" spans="1:36" ht="13" customHeight="1">
      <c r="A11" s="179" t="s">
        <v>164</v>
      </c>
      <c r="B11" s="241">
        <v>1527</v>
      </c>
      <c r="C11" s="239">
        <v>6029</v>
      </c>
      <c r="D11" s="239">
        <v>201300</v>
      </c>
      <c r="E11" s="239">
        <v>2527878</v>
      </c>
      <c r="F11" s="239">
        <v>281</v>
      </c>
      <c r="G11" s="243">
        <v>2737015</v>
      </c>
      <c r="H11" s="180">
        <v>214.44284612293001</v>
      </c>
      <c r="I11" s="181">
        <v>22.945355415832001</v>
      </c>
      <c r="J11" s="181">
        <v>18.234457264901</v>
      </c>
      <c r="K11" s="181">
        <v>31.109525239889997</v>
      </c>
      <c r="L11" s="181">
        <v>7.579504828368</v>
      </c>
      <c r="M11" s="181">
        <v>-0.22903351045300047</v>
      </c>
      <c r="N11" s="181">
        <v>294.08265536146797</v>
      </c>
      <c r="O11" s="184">
        <v>2340.6115738409999</v>
      </c>
      <c r="P11" s="181">
        <v>250.80142475100001</v>
      </c>
      <c r="Q11" s="181">
        <v>199.25788728155999</v>
      </c>
      <c r="R11" s="181">
        <v>339.9841042234421</v>
      </c>
      <c r="S11" s="181">
        <v>82.807317189999992</v>
      </c>
      <c r="T11" s="181">
        <v>-2.4271923951619891</v>
      </c>
      <c r="U11" s="181">
        <v>3211.0351148918403</v>
      </c>
      <c r="V11" s="58"/>
      <c r="W11" s="57"/>
      <c r="X11" s="57"/>
      <c r="Y11" s="57"/>
    </row>
    <row r="12" spans="1:36" ht="13" customHeight="1">
      <c r="A12" s="176" t="s">
        <v>165</v>
      </c>
      <c r="B12" s="240">
        <v>1525</v>
      </c>
      <c r="C12" s="236">
        <v>6028</v>
      </c>
      <c r="D12" s="236">
        <v>201243</v>
      </c>
      <c r="E12" s="236">
        <v>2525699</v>
      </c>
      <c r="F12" s="236">
        <v>281</v>
      </c>
      <c r="G12" s="242">
        <v>2734776</v>
      </c>
      <c r="H12" s="177">
        <v>200.48846042262699</v>
      </c>
      <c r="I12" s="178">
        <v>20.836221037976994</v>
      </c>
      <c r="J12" s="178">
        <v>14.452982984852</v>
      </c>
      <c r="K12" s="178">
        <v>27.335869997147</v>
      </c>
      <c r="L12" s="178">
        <v>7.715668626578001</v>
      </c>
      <c r="M12" s="178">
        <v>-0.97077815348400065</v>
      </c>
      <c r="N12" s="178">
        <v>269.85842491569696</v>
      </c>
      <c r="O12" s="183">
        <v>2188.322859164</v>
      </c>
      <c r="P12" s="178">
        <v>227.44546706</v>
      </c>
      <c r="Q12" s="178">
        <v>157.731732853719</v>
      </c>
      <c r="R12" s="178">
        <v>298.41784864728504</v>
      </c>
      <c r="S12" s="178">
        <v>84.205187652999996</v>
      </c>
      <c r="T12" s="178">
        <v>-10.482413337266987</v>
      </c>
      <c r="U12" s="178">
        <v>2945.6406820407374</v>
      </c>
      <c r="V12" s="58"/>
      <c r="W12" s="57"/>
      <c r="X12" s="57"/>
      <c r="Y12" s="57"/>
    </row>
    <row r="13" spans="1:36" ht="13" customHeight="1">
      <c r="A13" s="176" t="s">
        <v>166</v>
      </c>
      <c r="B13" s="240">
        <v>1525</v>
      </c>
      <c r="C13" s="236">
        <v>6029</v>
      </c>
      <c r="D13" s="236">
        <v>200995</v>
      </c>
      <c r="E13" s="236">
        <v>2523389</v>
      </c>
      <c r="F13" s="236">
        <v>281</v>
      </c>
      <c r="G13" s="242">
        <v>2732219</v>
      </c>
      <c r="H13" s="177">
        <v>209.84466594216195</v>
      </c>
      <c r="I13" s="178">
        <v>21.930855671978001</v>
      </c>
      <c r="J13" s="178">
        <v>14.645887399714001</v>
      </c>
      <c r="K13" s="178">
        <v>27.187566704472001</v>
      </c>
      <c r="L13" s="178">
        <v>7.6433786501389998</v>
      </c>
      <c r="M13" s="178">
        <v>-1.1000774971400002</v>
      </c>
      <c r="N13" s="178">
        <v>280.152276871325</v>
      </c>
      <c r="O13" s="183">
        <v>2293.0692876869998</v>
      </c>
      <c r="P13" s="178">
        <v>239.58035416499999</v>
      </c>
      <c r="Q13" s="178">
        <v>159.98846538647098</v>
      </c>
      <c r="R13" s="178">
        <v>297.04189757753602</v>
      </c>
      <c r="S13" s="178">
        <v>83.480316455999983</v>
      </c>
      <c r="T13" s="178">
        <v>-11.870041343999992</v>
      </c>
      <c r="U13" s="178">
        <v>3061.2902799280064</v>
      </c>
      <c r="V13" s="58"/>
      <c r="W13" s="57"/>
      <c r="X13" s="57"/>
      <c r="Y13" s="57"/>
    </row>
    <row r="14" spans="1:36" ht="13" customHeight="1">
      <c r="A14" s="179" t="s">
        <v>167</v>
      </c>
      <c r="B14" s="241">
        <v>1523</v>
      </c>
      <c r="C14" s="239">
        <v>6034</v>
      </c>
      <c r="D14" s="239">
        <v>201059</v>
      </c>
      <c r="E14" s="239">
        <v>2521963</v>
      </c>
      <c r="F14" s="239">
        <v>282</v>
      </c>
      <c r="G14" s="243">
        <v>2730861</v>
      </c>
      <c r="H14" s="180">
        <v>225.95814273563002</v>
      </c>
      <c r="I14" s="181">
        <v>28.604651896377</v>
      </c>
      <c r="J14" s="181">
        <v>27.762321594917999</v>
      </c>
      <c r="K14" s="181">
        <v>47.179743705823</v>
      </c>
      <c r="L14" s="181">
        <v>7.6625988921270007</v>
      </c>
      <c r="M14" s="181">
        <v>-0.62300738676000056</v>
      </c>
      <c r="N14" s="181">
        <v>336.544451438115</v>
      </c>
      <c r="O14" s="184">
        <v>2472.9943823410003</v>
      </c>
      <c r="P14" s="181">
        <v>313.00459756599997</v>
      </c>
      <c r="Q14" s="181">
        <v>303.77316047012096</v>
      </c>
      <c r="R14" s="181">
        <v>516.29824881988907</v>
      </c>
      <c r="S14" s="181">
        <v>83.816705504000026</v>
      </c>
      <c r="T14" s="181">
        <v>-6.6505752549999926</v>
      </c>
      <c r="U14" s="181">
        <v>3683.2365194460108</v>
      </c>
      <c r="V14" s="58"/>
      <c r="W14" s="57"/>
      <c r="X14" s="57"/>
      <c r="Y14" s="57"/>
    </row>
    <row r="15" spans="1:36" ht="13" customHeight="1">
      <c r="A15" s="176" t="s">
        <v>168</v>
      </c>
      <c r="B15" s="240">
        <v>1524</v>
      </c>
      <c r="C15" s="236">
        <v>6027</v>
      </c>
      <c r="D15" s="236">
        <v>200974</v>
      </c>
      <c r="E15" s="236">
        <v>2520814</v>
      </c>
      <c r="F15" s="236">
        <v>282</v>
      </c>
      <c r="G15" s="242">
        <v>2729621</v>
      </c>
      <c r="H15" s="177">
        <v>283.66357461574398</v>
      </c>
      <c r="I15" s="178">
        <v>53.001268660586007</v>
      </c>
      <c r="J15" s="178">
        <v>75.979723827623999</v>
      </c>
      <c r="K15" s="178">
        <v>129.27241965188298</v>
      </c>
      <c r="L15" s="178">
        <v>8.0263322786769997</v>
      </c>
      <c r="M15" s="178">
        <v>5.2383985932439989</v>
      </c>
      <c r="N15" s="178">
        <v>555.18171762775808</v>
      </c>
      <c r="O15" s="183">
        <v>3106.1786017149998</v>
      </c>
      <c r="P15" s="178">
        <v>580.41931303499996</v>
      </c>
      <c r="Q15" s="178">
        <v>831.95187091883099</v>
      </c>
      <c r="R15" s="178">
        <v>1415.6529937460921</v>
      </c>
      <c r="S15" s="178">
        <v>87.86008765199999</v>
      </c>
      <c r="T15" s="178">
        <v>57.530277567369005</v>
      </c>
      <c r="U15" s="178">
        <v>6079.5931446342929</v>
      </c>
      <c r="V15" s="58"/>
      <c r="W15" s="57"/>
      <c r="X15" s="57"/>
      <c r="Y15" s="57"/>
    </row>
    <row r="16" spans="1:36" ht="13" customHeight="1">
      <c r="A16" s="176" t="s">
        <v>169</v>
      </c>
      <c r="B16" s="240">
        <v>1525</v>
      </c>
      <c r="C16" s="236">
        <v>6026</v>
      </c>
      <c r="D16" s="236">
        <v>200961</v>
      </c>
      <c r="E16" s="236">
        <v>2519441</v>
      </c>
      <c r="F16" s="236">
        <v>285</v>
      </c>
      <c r="G16" s="242">
        <v>2728238</v>
      </c>
      <c r="H16" s="177">
        <v>373.44709125473292</v>
      </c>
      <c r="I16" s="178">
        <v>81.830118350095006</v>
      </c>
      <c r="J16" s="178">
        <v>142.38540359843802</v>
      </c>
      <c r="K16" s="178">
        <v>249.84308586861999</v>
      </c>
      <c r="L16" s="178">
        <v>7.9565194582159995</v>
      </c>
      <c r="M16" s="178">
        <v>10.015054617161999</v>
      </c>
      <c r="N16" s="178">
        <v>865.47727314726387</v>
      </c>
      <c r="O16" s="183">
        <v>4076.0686381400001</v>
      </c>
      <c r="P16" s="178">
        <v>893.19325397700004</v>
      </c>
      <c r="Q16" s="178">
        <v>1554.110822940273</v>
      </c>
      <c r="R16" s="178">
        <v>2727.1201299647532</v>
      </c>
      <c r="S16" s="178">
        <v>86.818217014999973</v>
      </c>
      <c r="T16" s="178">
        <v>109.50982473800001</v>
      </c>
      <c r="U16" s="178">
        <v>9446.8208867750254</v>
      </c>
      <c r="V16" s="58"/>
      <c r="W16" s="57"/>
      <c r="X16" s="57"/>
      <c r="Y16" s="57"/>
    </row>
    <row r="17" spans="1:25" ht="13" customHeight="1">
      <c r="A17" s="179" t="s">
        <v>170</v>
      </c>
      <c r="B17" s="241">
        <v>1523</v>
      </c>
      <c r="C17" s="239">
        <v>6025</v>
      </c>
      <c r="D17" s="239">
        <v>201068</v>
      </c>
      <c r="E17" s="239">
        <v>2518556</v>
      </c>
      <c r="F17" s="239">
        <v>285</v>
      </c>
      <c r="G17" s="243">
        <v>2727457</v>
      </c>
      <c r="H17" s="180">
        <v>345.49627238628995</v>
      </c>
      <c r="I17" s="181">
        <v>90.999490210595994</v>
      </c>
      <c r="J17" s="181">
        <v>172.76011355974202</v>
      </c>
      <c r="K17" s="181">
        <v>313.72160967203695</v>
      </c>
      <c r="L17" s="181">
        <v>7.5816620000000006</v>
      </c>
      <c r="M17" s="181">
        <v>18.684499371839998</v>
      </c>
      <c r="N17" s="181">
        <v>949.24364720050505</v>
      </c>
      <c r="O17" s="184">
        <v>3761.4346976969996</v>
      </c>
      <c r="P17" s="181">
        <v>990.71336038899994</v>
      </c>
      <c r="Q17" s="181">
        <v>1880.7941415265138</v>
      </c>
      <c r="R17" s="181">
        <v>3415.4019159774007</v>
      </c>
      <c r="S17" s="181">
        <v>82.512837808</v>
      </c>
      <c r="T17" s="181">
        <v>204.91188010099998</v>
      </c>
      <c r="U17" s="181">
        <v>10335.768833498914</v>
      </c>
      <c r="V17" s="58"/>
      <c r="W17" s="57"/>
      <c r="X17" s="57"/>
      <c r="Y17" s="57"/>
    </row>
    <row r="18" spans="1:25" ht="13" customHeight="1">
      <c r="A18" s="176" t="s">
        <v>48</v>
      </c>
      <c r="B18" s="240">
        <f>B8</f>
        <v>1541</v>
      </c>
      <c r="C18" s="235">
        <f t="shared" ref="C18:E18" si="0">C8</f>
        <v>6018</v>
      </c>
      <c r="D18" s="235">
        <f t="shared" si="0"/>
        <v>201951</v>
      </c>
      <c r="E18" s="235">
        <f t="shared" si="0"/>
        <v>2534993</v>
      </c>
      <c r="F18" s="235">
        <f t="shared" ref="F18" si="1">F8</f>
        <v>277</v>
      </c>
      <c r="G18" s="244">
        <f>G8</f>
        <v>2744780</v>
      </c>
      <c r="H18" s="177">
        <f>SUM(H6:H8)</f>
        <v>951.07421787183603</v>
      </c>
      <c r="I18" s="177">
        <f>SUM(I6:I8)</f>
        <v>240.06593152983899</v>
      </c>
      <c r="J18" s="177">
        <f t="shared" ref="J18:K18" si="2">SUM(J6:J8)</f>
        <v>415.43426502247405</v>
      </c>
      <c r="K18" s="177">
        <f t="shared" si="2"/>
        <v>746.19069889336299</v>
      </c>
      <c r="L18" s="177">
        <f t="shared" ref="L18" si="3">SUM(L6:L8)</f>
        <v>22.776600120695001</v>
      </c>
      <c r="M18" s="177">
        <f t="shared" ref="M18" si="4">SUM(M6:M8)</f>
        <v>39.257574818280361</v>
      </c>
      <c r="N18" s="177">
        <f>SUM(N6:N8)</f>
        <v>2414.7992882564872</v>
      </c>
      <c r="O18" s="183">
        <f>SUM(O6:O8)</f>
        <v>10357.751521942</v>
      </c>
      <c r="P18" s="177">
        <f>SUM(P6:P8)</f>
        <v>2614.6421453799999</v>
      </c>
      <c r="Q18" s="177">
        <f t="shared" ref="Q18:U18" si="5">SUM(Q6:Q8)</f>
        <v>4524.2474998255457</v>
      </c>
      <c r="R18" s="177">
        <f t="shared" si="5"/>
        <v>8126.0936473153852</v>
      </c>
      <c r="S18" s="177">
        <f t="shared" ref="S18" si="6">SUM(S6:S8)</f>
        <v>247.93894812999997</v>
      </c>
      <c r="T18" s="177">
        <f t="shared" ref="T18" si="7">SUM(T6:T8)</f>
        <v>428.30896798891609</v>
      </c>
      <c r="U18" s="177">
        <f t="shared" si="5"/>
        <v>26298.982730581847</v>
      </c>
    </row>
    <row r="19" spans="1:25" ht="13" customHeight="1">
      <c r="A19" s="176" t="s">
        <v>56</v>
      </c>
      <c r="B19" s="240">
        <f>B11</f>
        <v>1527</v>
      </c>
      <c r="C19" s="235">
        <f t="shared" ref="C19:G19" si="8">C11</f>
        <v>6029</v>
      </c>
      <c r="D19" s="235">
        <f t="shared" si="8"/>
        <v>201300</v>
      </c>
      <c r="E19" s="235">
        <f t="shared" si="8"/>
        <v>2527878</v>
      </c>
      <c r="F19" s="235">
        <f t="shared" ref="F19" si="9">F11</f>
        <v>281</v>
      </c>
      <c r="G19" s="244">
        <f t="shared" si="8"/>
        <v>2737015</v>
      </c>
      <c r="H19" s="177">
        <f>SUM(H9:H11)</f>
        <v>671.44825431664106</v>
      </c>
      <c r="I19" s="177">
        <f>SUM(I9:I11)</f>
        <v>96.302590061765997</v>
      </c>
      <c r="J19" s="177">
        <f t="shared" ref="J19:N19" si="10">SUM(J9:J11)</f>
        <v>107.62911349826699</v>
      </c>
      <c r="K19" s="177">
        <f t="shared" si="10"/>
        <v>190.74841926052798</v>
      </c>
      <c r="L19" s="177">
        <f t="shared" ref="L19" si="11">SUM(L9:L11)</f>
        <v>22.913182116827997</v>
      </c>
      <c r="M19" s="177">
        <f t="shared" ref="M19" si="12">SUM(M9:M11)</f>
        <v>6.4677072131070004</v>
      </c>
      <c r="N19" s="177">
        <f t="shared" si="10"/>
        <v>1095.509266467137</v>
      </c>
      <c r="O19" s="183">
        <f>SUM(O9:O11)</f>
        <v>7330.6690559379995</v>
      </c>
      <c r="P19" s="177">
        <f>SUM(P9:P11)</f>
        <v>1051.288580011</v>
      </c>
      <c r="Q19" s="177">
        <f t="shared" ref="Q19:U19" si="13">SUM(Q9:Q11)</f>
        <v>1174.2626675893059</v>
      </c>
      <c r="R19" s="177">
        <f t="shared" si="13"/>
        <v>2080.813381185686</v>
      </c>
      <c r="S19" s="177">
        <f t="shared" ref="S19" si="14">SUM(S9:S11)</f>
        <v>250.18591451</v>
      </c>
      <c r="T19" s="177">
        <f t="shared" ref="T19" si="15">SUM(T9:T11)</f>
        <v>70.927617005564144</v>
      </c>
      <c r="U19" s="177">
        <f t="shared" si="13"/>
        <v>11958.147216239555</v>
      </c>
    </row>
    <row r="20" spans="1:25" ht="13" customHeight="1">
      <c r="A20" s="176" t="s">
        <v>63</v>
      </c>
      <c r="B20" s="240">
        <f>B14</f>
        <v>1523</v>
      </c>
      <c r="C20" s="235">
        <f t="shared" ref="C20:G20" si="16">C14</f>
        <v>6034</v>
      </c>
      <c r="D20" s="235">
        <f t="shared" si="16"/>
        <v>201059</v>
      </c>
      <c r="E20" s="235">
        <f t="shared" si="16"/>
        <v>2521963</v>
      </c>
      <c r="F20" s="235">
        <f t="shared" ref="F20" si="17">F14</f>
        <v>282</v>
      </c>
      <c r="G20" s="244">
        <f t="shared" si="16"/>
        <v>2730861</v>
      </c>
      <c r="H20" s="177">
        <f>SUM(H12:H14)</f>
        <v>636.29126910041896</v>
      </c>
      <c r="I20" s="177">
        <f>SUM(I12:I14)</f>
        <v>71.371728606331999</v>
      </c>
      <c r="J20" s="177">
        <f t="shared" ref="J20:N20" si="18">SUM(J12:J14)</f>
        <v>56.861191979483998</v>
      </c>
      <c r="K20" s="177">
        <f t="shared" si="18"/>
        <v>101.70318040744201</v>
      </c>
      <c r="L20" s="177">
        <f t="shared" ref="L20" si="19">SUM(L12:L14)</f>
        <v>23.021646168844001</v>
      </c>
      <c r="M20" s="177">
        <f t="shared" ref="M20" si="20">SUM(M12:M14)</f>
        <v>-2.6938630373840011</v>
      </c>
      <c r="N20" s="177">
        <f t="shared" si="18"/>
        <v>886.55515322513702</v>
      </c>
      <c r="O20" s="183">
        <f>SUM(O12:O14)</f>
        <v>6954.3865291920001</v>
      </c>
      <c r="P20" s="177">
        <f>SUM(P12:P14)</f>
        <v>780.03041879099987</v>
      </c>
      <c r="Q20" s="177">
        <f t="shared" ref="Q20:U20" si="21">SUM(Q12:Q14)</f>
        <v>621.49335871031099</v>
      </c>
      <c r="R20" s="177">
        <f t="shared" si="21"/>
        <v>1111.7579950447102</v>
      </c>
      <c r="S20" s="177">
        <f t="shared" ref="S20" si="22">SUM(S12:S14)</f>
        <v>251.50220961299999</v>
      </c>
      <c r="T20" s="177">
        <f t="shared" ref="T20" si="23">SUM(T12:T14)</f>
        <v>-29.003029936266969</v>
      </c>
      <c r="U20" s="177">
        <f t="shared" si="21"/>
        <v>9690.1674814147555</v>
      </c>
    </row>
    <row r="21" spans="1:25" ht="13" customHeight="1">
      <c r="A21" s="179" t="s">
        <v>57</v>
      </c>
      <c r="B21" s="241">
        <f>B17</f>
        <v>1523</v>
      </c>
      <c r="C21" s="238">
        <f t="shared" ref="C21:E21" si="24">C17</f>
        <v>6025</v>
      </c>
      <c r="D21" s="238">
        <f t="shared" si="24"/>
        <v>201068</v>
      </c>
      <c r="E21" s="238">
        <f t="shared" si="24"/>
        <v>2518556</v>
      </c>
      <c r="F21" s="238">
        <f t="shared" ref="F21" si="25">F17</f>
        <v>285</v>
      </c>
      <c r="G21" s="400">
        <f>G17</f>
        <v>2727457</v>
      </c>
      <c r="H21" s="180">
        <f>SUM(H15:H17)</f>
        <v>1002.6069382567669</v>
      </c>
      <c r="I21" s="180">
        <f>SUM(I15:I17)</f>
        <v>225.83087722127698</v>
      </c>
      <c r="J21" s="180">
        <f t="shared" ref="J21:N21" si="26">SUM(J15:J17)</f>
        <v>391.12524098580406</v>
      </c>
      <c r="K21" s="180">
        <f t="shared" si="26"/>
        <v>692.83711519253995</v>
      </c>
      <c r="L21" s="180">
        <f t="shared" ref="L21" si="27">SUM(L15:L17)</f>
        <v>23.564513736893002</v>
      </c>
      <c r="M21" s="180">
        <f t="shared" ref="M21" si="28">SUM(M15:M17)</f>
        <v>33.937952582245998</v>
      </c>
      <c r="N21" s="180">
        <f t="shared" si="26"/>
        <v>2369.9026379755269</v>
      </c>
      <c r="O21" s="184">
        <f>SUM(O15:O17)</f>
        <v>10943.681937551999</v>
      </c>
      <c r="P21" s="180">
        <f>SUM(P15:P17)</f>
        <v>2464.3259274009997</v>
      </c>
      <c r="Q21" s="180">
        <f t="shared" ref="Q21:U21" si="29">SUM(Q15:Q17)</f>
        <v>4266.8568353856181</v>
      </c>
      <c r="R21" s="180">
        <f t="shared" si="29"/>
        <v>7558.1750396882462</v>
      </c>
      <c r="S21" s="180">
        <f t="shared" ref="S21" si="30">SUM(S15:S17)</f>
        <v>257.19114247499999</v>
      </c>
      <c r="T21" s="180">
        <f t="shared" ref="T21" si="31">SUM(T15:T17)</f>
        <v>371.95198240636898</v>
      </c>
      <c r="U21" s="180">
        <f t="shared" si="29"/>
        <v>25862.182864908231</v>
      </c>
    </row>
    <row r="22" spans="1:25" ht="13" customHeight="1">
      <c r="A22" s="176" t="s">
        <v>58</v>
      </c>
      <c r="B22" s="240">
        <f>B11</f>
        <v>1527</v>
      </c>
      <c r="C22" s="235">
        <f t="shared" ref="C22:G22" si="32">C11</f>
        <v>6029</v>
      </c>
      <c r="D22" s="235">
        <f t="shared" si="32"/>
        <v>201300</v>
      </c>
      <c r="E22" s="235">
        <f t="shared" si="32"/>
        <v>2527878</v>
      </c>
      <c r="F22" s="235">
        <f t="shared" ref="F22" si="33">F11</f>
        <v>281</v>
      </c>
      <c r="G22" s="244">
        <f t="shared" si="32"/>
        <v>2737015</v>
      </c>
      <c r="H22" s="177">
        <f>SUM(H6:H11)</f>
        <v>1622.522472188477</v>
      </c>
      <c r="I22" s="177">
        <f>SUM(I6:I11)</f>
        <v>336.36852159160503</v>
      </c>
      <c r="J22" s="177">
        <f t="shared" ref="J22:N22" si="34">SUM(J6:J11)</f>
        <v>523.06337852074103</v>
      </c>
      <c r="K22" s="177">
        <f t="shared" si="34"/>
        <v>936.93911815389094</v>
      </c>
      <c r="L22" s="177">
        <f t="shared" ref="L22" si="35">SUM(L6:L11)</f>
        <v>45.689782237523005</v>
      </c>
      <c r="M22" s="177">
        <f t="shared" ref="M22" si="36">SUM(M6:M11)</f>
        <v>45.725282031387358</v>
      </c>
      <c r="N22" s="177">
        <f t="shared" si="34"/>
        <v>3510.3085547236242</v>
      </c>
      <c r="O22" s="183">
        <f>SUM(O6:O11)</f>
        <v>17688.420577879999</v>
      </c>
      <c r="P22" s="177">
        <f>SUM(P6:P11)</f>
        <v>3665.9307253909997</v>
      </c>
      <c r="Q22" s="177">
        <f t="shared" ref="Q22:U22" si="37">SUM(Q6:Q11)</f>
        <v>5698.5101674148518</v>
      </c>
      <c r="R22" s="177">
        <f t="shared" si="37"/>
        <v>10206.907028501069</v>
      </c>
      <c r="S22" s="177">
        <f t="shared" ref="S22" si="38">SUM(S6:S11)</f>
        <v>498.12486263999995</v>
      </c>
      <c r="T22" s="177">
        <f t="shared" ref="T22" si="39">SUM(T6:T11)</f>
        <v>499.23658499448027</v>
      </c>
      <c r="U22" s="177">
        <f t="shared" si="37"/>
        <v>38257.129946821398</v>
      </c>
    </row>
    <row r="23" spans="1:25" ht="13" customHeight="1">
      <c r="A23" s="179" t="s">
        <v>59</v>
      </c>
      <c r="B23" s="241">
        <f>B17</f>
        <v>1523</v>
      </c>
      <c r="C23" s="238">
        <f t="shared" ref="C23:G23" si="40">C17</f>
        <v>6025</v>
      </c>
      <c r="D23" s="238">
        <f t="shared" si="40"/>
        <v>201068</v>
      </c>
      <c r="E23" s="238">
        <f t="shared" si="40"/>
        <v>2518556</v>
      </c>
      <c r="F23" s="238">
        <f t="shared" ref="F23" si="41">F17</f>
        <v>285</v>
      </c>
      <c r="G23" s="400">
        <f t="shared" si="40"/>
        <v>2727457</v>
      </c>
      <c r="H23" s="180">
        <f>SUM(H12:H17)</f>
        <v>1638.8982073571858</v>
      </c>
      <c r="I23" s="180">
        <f>SUM(I12:I17)</f>
        <v>297.20260582760898</v>
      </c>
      <c r="J23" s="180">
        <f t="shared" ref="J23:N23" si="42">SUM(J12:J17)</f>
        <v>447.98643296528803</v>
      </c>
      <c r="K23" s="180">
        <f t="shared" si="42"/>
        <v>794.54029559998196</v>
      </c>
      <c r="L23" s="180">
        <f t="shared" ref="L23" si="43">SUM(L12:L17)</f>
        <v>46.586159905736999</v>
      </c>
      <c r="M23" s="180">
        <f t="shared" ref="M23" si="44">SUM(M12:M17)</f>
        <v>31.244089544861993</v>
      </c>
      <c r="N23" s="180">
        <f t="shared" si="42"/>
        <v>3256.4577912006644</v>
      </c>
      <c r="O23" s="184">
        <f>SUM(O12:O17)</f>
        <v>17898.068466744</v>
      </c>
      <c r="P23" s="180">
        <f>SUM(P12:P17)</f>
        <v>3244.3563461919994</v>
      </c>
      <c r="Q23" s="180">
        <f t="shared" ref="Q23:U23" si="45">SUM(Q12:Q17)</f>
        <v>4888.3501940959286</v>
      </c>
      <c r="R23" s="180">
        <f t="shared" si="45"/>
        <v>8669.933034732956</v>
      </c>
      <c r="S23" s="180">
        <f t="shared" ref="S23" si="46">SUM(S12:S17)</f>
        <v>508.69335208799998</v>
      </c>
      <c r="T23" s="180">
        <f t="shared" ref="T23" si="47">SUM(T12:T17)</f>
        <v>342.94895247010203</v>
      </c>
      <c r="U23" s="180">
        <f t="shared" si="45"/>
        <v>35552.350346322986</v>
      </c>
    </row>
    <row r="24" spans="1:25" ht="13" customHeight="1">
      <c r="A24" s="179" t="s">
        <v>171</v>
      </c>
      <c r="B24" s="241">
        <f>B17</f>
        <v>1523</v>
      </c>
      <c r="C24" s="238">
        <f t="shared" ref="C24:G24" si="48">C17</f>
        <v>6025</v>
      </c>
      <c r="D24" s="238">
        <f t="shared" si="48"/>
        <v>201068</v>
      </c>
      <c r="E24" s="238">
        <f t="shared" si="48"/>
        <v>2518556</v>
      </c>
      <c r="F24" s="238">
        <f t="shared" ref="F24" si="49">F17</f>
        <v>285</v>
      </c>
      <c r="G24" s="400">
        <f t="shared" si="48"/>
        <v>2727457</v>
      </c>
      <c r="H24" s="180">
        <f>SUM(H6:H17)</f>
        <v>3261.420679545663</v>
      </c>
      <c r="I24" s="180">
        <f>SUM(I6:I17)</f>
        <v>633.57112741921412</v>
      </c>
      <c r="J24" s="180">
        <f t="shared" ref="J24:N24" si="50">SUM(J6:J17)</f>
        <v>971.04981148602906</v>
      </c>
      <c r="K24" s="180">
        <f t="shared" si="50"/>
        <v>1731.4794137538729</v>
      </c>
      <c r="L24" s="180">
        <f t="shared" ref="L24" si="51">SUM(L6:L17)</f>
        <v>92.275942143259996</v>
      </c>
      <c r="M24" s="180">
        <f t="shared" ref="M24" si="52">SUM(M6:M17)</f>
        <v>76.969371576249358</v>
      </c>
      <c r="N24" s="180">
        <f t="shared" si="50"/>
        <v>6766.7663459242876</v>
      </c>
      <c r="O24" s="184">
        <f>SUM(O6:O17)</f>
        <v>35586.489044623995</v>
      </c>
      <c r="P24" s="180">
        <f>SUM(P6:P17)</f>
        <v>6910.2870715829995</v>
      </c>
      <c r="Q24" s="180">
        <f t="shared" ref="Q24:U24" si="53">SUM(Q6:Q17)</f>
        <v>10586.86036151078</v>
      </c>
      <c r="R24" s="180">
        <f t="shared" si="53"/>
        <v>18876.840063234024</v>
      </c>
      <c r="S24" s="180">
        <f t="shared" ref="S24" si="54">SUM(S6:S17)</f>
        <v>1006.8182147279997</v>
      </c>
      <c r="T24" s="180">
        <f t="shared" ref="T24" si="55">SUM(T6:T17)</f>
        <v>842.18553746458224</v>
      </c>
      <c r="U24" s="180">
        <f t="shared" si="53"/>
        <v>73809.480293144385</v>
      </c>
    </row>
    <row r="25" spans="1:25" ht="15" customHeight="1"/>
    <row r="26" spans="1:25" ht="26.15" customHeight="1">
      <c r="A26" s="438" t="s">
        <v>307</v>
      </c>
      <c r="B26" s="438"/>
      <c r="C26" s="438"/>
      <c r="D26" s="438"/>
      <c r="E26" s="438"/>
      <c r="F26" s="438"/>
      <c r="G26" s="438"/>
      <c r="H26" s="438"/>
      <c r="I26" s="438" t="s">
        <v>250</v>
      </c>
      <c r="J26" s="438"/>
      <c r="K26" s="438"/>
      <c r="L26" s="438"/>
      <c r="M26" s="438"/>
      <c r="N26" s="118"/>
      <c r="O26" s="118"/>
      <c r="P26" s="438" t="s">
        <v>251</v>
      </c>
      <c r="Q26" s="452"/>
      <c r="R26" s="452"/>
      <c r="S26" s="452"/>
      <c r="T26" s="452"/>
    </row>
    <row r="27" spans="1:25" ht="12" customHeight="1">
      <c r="A27" s="67"/>
      <c r="B27" s="70" t="str">
        <f>B5</f>
        <v>VO</v>
      </c>
      <c r="C27" s="70" t="str">
        <f t="shared" ref="C27:E27" si="56">C5</f>
        <v>SO</v>
      </c>
      <c r="D27" s="70" t="str">
        <f t="shared" si="56"/>
        <v>MO</v>
      </c>
      <c r="E27" s="70" t="str">
        <f t="shared" si="56"/>
        <v>DOM</v>
      </c>
      <c r="F27" s="70" t="str">
        <f>F5</f>
        <v>CNG</v>
      </c>
      <c r="G27" s="374"/>
      <c r="H27" s="72"/>
      <c r="I27" s="70" t="str">
        <f>H5</f>
        <v>VO</v>
      </c>
      <c r="J27" s="70" t="str">
        <f t="shared" ref="J27" si="57">I5</f>
        <v>SO</v>
      </c>
      <c r="K27" s="70" t="str">
        <f>J5</f>
        <v>MO</v>
      </c>
      <c r="L27" s="70" t="str">
        <f t="shared" ref="L27:M27" si="58">K5</f>
        <v>DOM</v>
      </c>
      <c r="M27" s="70" t="str">
        <f t="shared" si="58"/>
        <v>CNG</v>
      </c>
      <c r="N27" s="71"/>
      <c r="O27" s="73"/>
      <c r="P27" s="70" t="str">
        <f>O5</f>
        <v>VO</v>
      </c>
      <c r="Q27" s="70" t="str">
        <f t="shared" ref="Q27:T27" si="59">P5</f>
        <v>SO</v>
      </c>
      <c r="R27" s="70" t="str">
        <f t="shared" si="59"/>
        <v>MO</v>
      </c>
      <c r="S27" s="70" t="str">
        <f t="shared" si="59"/>
        <v>DOM</v>
      </c>
      <c r="T27" s="70" t="str">
        <f t="shared" si="59"/>
        <v>CNG</v>
      </c>
      <c r="U27" s="60"/>
    </row>
    <row r="28" spans="1:25" ht="12" customHeight="1">
      <c r="B28" s="74">
        <f>B18</f>
        <v>1541</v>
      </c>
      <c r="C28" s="74">
        <f>C18</f>
        <v>6018</v>
      </c>
      <c r="D28" s="74">
        <f>D18</f>
        <v>201951</v>
      </c>
      <c r="E28" s="74">
        <f>E18</f>
        <v>2534993</v>
      </c>
      <c r="F28" s="74">
        <f>F18</f>
        <v>277</v>
      </c>
      <c r="G28" s="375"/>
      <c r="H28" s="73" t="str">
        <f>A18</f>
        <v>I. čtvrtletí</v>
      </c>
      <c r="I28" s="75">
        <f>H18</f>
        <v>951.07421787183603</v>
      </c>
      <c r="J28" s="75">
        <f t="shared" ref="J28:M28" si="60">I18</f>
        <v>240.06593152983899</v>
      </c>
      <c r="K28" s="75">
        <f t="shared" si="60"/>
        <v>415.43426502247405</v>
      </c>
      <c r="L28" s="75">
        <f t="shared" si="60"/>
        <v>746.19069889336299</v>
      </c>
      <c r="M28" s="75">
        <f t="shared" si="60"/>
        <v>22.776600120695001</v>
      </c>
      <c r="N28" s="61"/>
      <c r="O28" s="72" t="str">
        <f>A18</f>
        <v>I. čtvrtletí</v>
      </c>
      <c r="P28" s="74">
        <f>O18</f>
        <v>10357.751521942</v>
      </c>
      <c r="Q28" s="74">
        <f t="shared" ref="Q28:T28" si="61">P18</f>
        <v>2614.6421453799999</v>
      </c>
      <c r="R28" s="74">
        <f t="shared" si="61"/>
        <v>4524.2474998255457</v>
      </c>
      <c r="S28" s="74">
        <f t="shared" si="61"/>
        <v>8126.0936473153852</v>
      </c>
      <c r="T28" s="74">
        <f t="shared" si="61"/>
        <v>247.93894812999997</v>
      </c>
      <c r="U28" s="63"/>
    </row>
    <row r="29" spans="1:25" ht="12" customHeight="1">
      <c r="B29" s="390"/>
      <c r="C29" s="390"/>
      <c r="D29" s="390"/>
      <c r="E29" s="375"/>
      <c r="F29" s="375"/>
      <c r="G29" s="375"/>
      <c r="H29" s="73" t="str">
        <f t="shared" ref="H29:H31" si="62">A19</f>
        <v>II. čtvrtletí</v>
      </c>
      <c r="I29" s="75">
        <f t="shared" ref="I29:M29" si="63">H19</f>
        <v>671.44825431664106</v>
      </c>
      <c r="J29" s="75">
        <f t="shared" si="63"/>
        <v>96.302590061765997</v>
      </c>
      <c r="K29" s="75">
        <f t="shared" si="63"/>
        <v>107.62911349826699</v>
      </c>
      <c r="L29" s="75">
        <f t="shared" si="63"/>
        <v>190.74841926052798</v>
      </c>
      <c r="M29" s="75">
        <f t="shared" si="63"/>
        <v>22.913182116827997</v>
      </c>
      <c r="N29" s="61"/>
      <c r="O29" s="72" t="str">
        <f t="shared" ref="O29:O31" si="64">A19</f>
        <v>II. čtvrtletí</v>
      </c>
      <c r="P29" s="74">
        <f t="shared" ref="P29:T29" si="65">O19</f>
        <v>7330.6690559379995</v>
      </c>
      <c r="Q29" s="74">
        <f t="shared" si="65"/>
        <v>1051.288580011</v>
      </c>
      <c r="R29" s="74">
        <f t="shared" si="65"/>
        <v>1174.2626675893059</v>
      </c>
      <c r="S29" s="74">
        <f t="shared" si="65"/>
        <v>2080.813381185686</v>
      </c>
      <c r="T29" s="74">
        <f t="shared" si="65"/>
        <v>250.18591451</v>
      </c>
      <c r="U29" s="63"/>
    </row>
    <row r="30" spans="1:25" ht="12" customHeight="1">
      <c r="B30" s="61"/>
      <c r="C30" s="61"/>
      <c r="D30" s="61"/>
      <c r="E30" s="62"/>
      <c r="F30" s="62"/>
      <c r="G30" s="62"/>
      <c r="H30" s="73" t="str">
        <f t="shared" si="62"/>
        <v>III. čtvrtletí</v>
      </c>
      <c r="I30" s="75">
        <f t="shared" ref="I30:M30" si="66">H20</f>
        <v>636.29126910041896</v>
      </c>
      <c r="J30" s="75">
        <f t="shared" si="66"/>
        <v>71.371728606331999</v>
      </c>
      <c r="K30" s="75">
        <f t="shared" si="66"/>
        <v>56.861191979483998</v>
      </c>
      <c r="L30" s="75">
        <f t="shared" si="66"/>
        <v>101.70318040744201</v>
      </c>
      <c r="M30" s="75">
        <f t="shared" si="66"/>
        <v>23.021646168844001</v>
      </c>
      <c r="N30" s="61"/>
      <c r="O30" s="72" t="str">
        <f t="shared" si="64"/>
        <v>III. čtvrtletí</v>
      </c>
      <c r="P30" s="74">
        <f t="shared" ref="P30:T30" si="67">O20</f>
        <v>6954.3865291920001</v>
      </c>
      <c r="Q30" s="74">
        <f t="shared" si="67"/>
        <v>780.03041879099987</v>
      </c>
      <c r="R30" s="74">
        <f t="shared" si="67"/>
        <v>621.49335871031099</v>
      </c>
      <c r="S30" s="74">
        <f t="shared" si="67"/>
        <v>1111.7579950447102</v>
      </c>
      <c r="T30" s="74">
        <f t="shared" si="67"/>
        <v>251.50220961299999</v>
      </c>
      <c r="U30" s="63"/>
    </row>
    <row r="31" spans="1:25" ht="12" customHeight="1">
      <c r="B31" s="61"/>
      <c r="C31" s="61"/>
      <c r="D31" s="61"/>
      <c r="E31" s="62"/>
      <c r="F31" s="62"/>
      <c r="G31" s="62"/>
      <c r="H31" s="73" t="str">
        <f t="shared" si="62"/>
        <v>IV. čtvrtletí</v>
      </c>
      <c r="I31" s="75">
        <f t="shared" ref="I31:M31" si="68">H21</f>
        <v>1002.6069382567669</v>
      </c>
      <c r="J31" s="75">
        <f t="shared" si="68"/>
        <v>225.83087722127698</v>
      </c>
      <c r="K31" s="75">
        <f t="shared" si="68"/>
        <v>391.12524098580406</v>
      </c>
      <c r="L31" s="75">
        <f t="shared" si="68"/>
        <v>692.83711519253995</v>
      </c>
      <c r="M31" s="75">
        <f t="shared" si="68"/>
        <v>23.564513736893002</v>
      </c>
      <c r="N31" s="61"/>
      <c r="O31" s="72" t="str">
        <f t="shared" si="64"/>
        <v>IV. čtvrtletí</v>
      </c>
      <c r="P31" s="74">
        <f t="shared" ref="P31:T31" si="69">O21</f>
        <v>10943.681937551999</v>
      </c>
      <c r="Q31" s="74">
        <f t="shared" si="69"/>
        <v>2464.3259274009997</v>
      </c>
      <c r="R31" s="74">
        <f t="shared" si="69"/>
        <v>4266.8568353856181</v>
      </c>
      <c r="S31" s="74">
        <f t="shared" si="69"/>
        <v>7558.1750396882462</v>
      </c>
      <c r="T31" s="74">
        <f t="shared" si="69"/>
        <v>257.19114247499999</v>
      </c>
      <c r="U31" s="63"/>
    </row>
    <row r="32" spans="1:25" ht="12" customHeight="1">
      <c r="E32" s="63"/>
      <c r="F32" s="63"/>
      <c r="G32" s="63"/>
      <c r="H32" s="63"/>
      <c r="I32" s="63"/>
      <c r="Q32" s="63"/>
      <c r="R32" s="63"/>
      <c r="S32" s="63"/>
      <c r="T32" s="63"/>
      <c r="U32" s="63"/>
    </row>
    <row r="33" spans="4:21" ht="12" customHeight="1">
      <c r="D33" s="454"/>
      <c r="E33" s="63"/>
      <c r="F33" s="63"/>
      <c r="G33" s="63"/>
      <c r="H33" s="63"/>
      <c r="I33" s="63"/>
      <c r="Q33" s="63"/>
      <c r="R33" s="63"/>
      <c r="S33" s="63"/>
      <c r="T33" s="63"/>
      <c r="U33" s="63"/>
    </row>
    <row r="34" spans="4:21" ht="12" customHeight="1">
      <c r="D34" s="454"/>
      <c r="E34" s="63"/>
      <c r="F34" s="63"/>
      <c r="G34" s="63"/>
      <c r="H34" s="63"/>
      <c r="I34" s="63"/>
      <c r="Q34" s="63"/>
      <c r="R34" s="63"/>
      <c r="S34" s="63"/>
      <c r="T34" s="63"/>
      <c r="U34" s="63"/>
    </row>
    <row r="35" spans="4:21" ht="12" customHeight="1">
      <c r="E35" s="63"/>
      <c r="F35" s="63"/>
      <c r="G35" s="63"/>
      <c r="H35" s="63"/>
      <c r="I35" s="63"/>
      <c r="Q35" s="63"/>
      <c r="R35" s="63"/>
      <c r="S35" s="63"/>
      <c r="T35" s="63"/>
      <c r="U35" s="63"/>
    </row>
    <row r="36" spans="4:21" ht="12" customHeight="1">
      <c r="E36" s="63"/>
      <c r="F36" s="63"/>
      <c r="G36" s="63"/>
      <c r="H36" s="63"/>
      <c r="I36" s="63"/>
      <c r="Q36" s="63"/>
      <c r="R36" s="63"/>
      <c r="S36" s="63"/>
      <c r="T36" s="63"/>
      <c r="U36" s="63"/>
    </row>
    <row r="37" spans="4:21" ht="12" customHeight="1">
      <c r="E37" s="63"/>
      <c r="F37" s="63"/>
      <c r="G37" s="63"/>
      <c r="H37" s="63"/>
      <c r="I37" s="63"/>
      <c r="Q37" s="63"/>
      <c r="R37" s="63"/>
      <c r="S37" s="63"/>
      <c r="T37" s="63"/>
      <c r="U37" s="63"/>
    </row>
    <row r="38" spans="4:21" ht="12" customHeight="1">
      <c r="E38" s="63"/>
      <c r="F38" s="63"/>
      <c r="G38" s="63"/>
      <c r="H38" s="63"/>
      <c r="I38" s="63"/>
      <c r="Q38" s="63"/>
      <c r="R38" s="63"/>
      <c r="S38" s="63"/>
      <c r="T38" s="63"/>
      <c r="U38" s="63"/>
    </row>
    <row r="39" spans="4:21" ht="12" customHeight="1">
      <c r="E39" s="63"/>
      <c r="F39" s="63"/>
      <c r="G39" s="63"/>
      <c r="H39" s="63"/>
      <c r="I39" s="63"/>
      <c r="Q39" s="63"/>
      <c r="R39" s="63"/>
      <c r="S39" s="63"/>
      <c r="T39" s="63"/>
      <c r="U39" s="63"/>
    </row>
    <row r="40" spans="4:21" ht="12" customHeight="1"/>
    <row r="41" spans="4:21" ht="12" customHeight="1"/>
    <row r="42" spans="4:21" ht="12" customHeight="1"/>
    <row r="43" spans="4:21" ht="12" customHeight="1"/>
    <row r="44" spans="4:21" ht="12" customHeight="1"/>
  </sheetData>
  <mergeCells count="10">
    <mergeCell ref="D33:D34"/>
    <mergeCell ref="A1:U1"/>
    <mergeCell ref="B2:U2"/>
    <mergeCell ref="B3:G3"/>
    <mergeCell ref="H3:U3"/>
    <mergeCell ref="A26:H26"/>
    <mergeCell ref="I26:M26"/>
    <mergeCell ref="P26:T26"/>
    <mergeCell ref="M4:M5"/>
    <mergeCell ref="T4:T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ignoredErrors>
    <ignoredError sqref="H18:U18 H21:U23 H19:I19 J19:U19 I20:U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34</vt:i4>
      </vt:variant>
      <vt:variant>
        <vt:lpstr>Pojmenované oblasti</vt:lpstr>
      </vt:variant>
      <vt:variant>
        <vt:i4>8</vt:i4>
      </vt:variant>
    </vt:vector>
  </HeadingPairs>
  <TitlesOfParts>
    <vt:vector size="4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</vt:lpstr>
      <vt:lpstr>Obálka</vt:lpstr>
      <vt:lpstr>'2'!Oblast_tisku</vt:lpstr>
      <vt:lpstr>Titulní!Oblast_tisku</vt:lpstr>
      <vt:lpstr>'2'!OLE_LINK42</vt:lpstr>
      <vt:lpstr>Úvod!OLE_LINK42</vt:lpstr>
      <vt:lpstr>'2'!OLE_LINK43</vt:lpstr>
      <vt:lpstr>Úvod!OLE_LINK43</vt:lpstr>
      <vt:lpstr>Úvod!OLE_LINK6</vt:lpstr>
      <vt:lpstr>Úvod!OLE_LINK7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2025-01-31T08:26:06Z</cp:lastPrinted>
  <dcterms:created xsi:type="dcterms:W3CDTF">2010-02-15T08:19:53Z</dcterms:created>
  <dcterms:modified xsi:type="dcterms:W3CDTF">2025-01-31T08:31:54Z</dcterms:modified>
</cp:coreProperties>
</file>