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5\"/>
    </mc:Choice>
  </mc:AlternateContent>
  <xr:revisionPtr revIDLastSave="0" documentId="13_ncr:1_{8F27B7AA-00CF-43AD-9463-12378549A014}" xr6:coauthVersionLast="36" xr6:coauthVersionMax="36" xr10:uidLastSave="{00000000-0000-0000-0000-000000000000}"/>
  <bookViews>
    <workbookView xWindow="0" yWindow="0" windowWidth="23040" windowHeight="9060" activeTab="7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 concurrentManualCount="4"/>
</workbook>
</file>

<file path=xl/calcChain.xml><?xml version="1.0" encoding="utf-8"?>
<calcChain xmlns="http://schemas.openxmlformats.org/spreadsheetml/2006/main">
  <c r="H13" i="116" l="1"/>
  <c r="I28" i="147" l="1"/>
  <c r="H20" i="147"/>
  <c r="K28" i="105" l="1"/>
  <c r="G28" i="105"/>
  <c r="K23" i="105"/>
  <c r="G23" i="105"/>
  <c r="K18" i="105"/>
  <c r="G18" i="105"/>
  <c r="H20" i="168" l="1"/>
  <c r="H44" i="111" l="1"/>
  <c r="N22" i="146" l="1"/>
  <c r="B20" i="146"/>
  <c r="B21" i="146"/>
  <c r="E19" i="179" s="1"/>
  <c r="K30" i="105" l="1"/>
  <c r="K54" i="105"/>
  <c r="K50" i="105"/>
  <c r="K49" i="105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29" i="105"/>
  <c r="K27" i="105"/>
  <c r="K26" i="105"/>
  <c r="K25" i="105"/>
  <c r="K24" i="105"/>
  <c r="K22" i="105"/>
  <c r="K21" i="105"/>
  <c r="K20" i="105"/>
  <c r="K19" i="105"/>
  <c r="K17" i="105"/>
  <c r="K16" i="105"/>
  <c r="K15" i="105"/>
  <c r="K14" i="105"/>
  <c r="K13" i="105"/>
  <c r="K12" i="105"/>
  <c r="K11" i="105"/>
  <c r="K10" i="105"/>
  <c r="K9" i="105"/>
  <c r="K8" i="105"/>
  <c r="K7" i="105"/>
  <c r="K6" i="105"/>
  <c r="G30" i="105"/>
  <c r="G54" i="105"/>
  <c r="G50" i="105"/>
  <c r="G49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29" i="105"/>
  <c r="G27" i="105"/>
  <c r="G26" i="105"/>
  <c r="G25" i="105"/>
  <c r="G24" i="105"/>
  <c r="G22" i="105"/>
  <c r="G21" i="105"/>
  <c r="G20" i="105"/>
  <c r="G19" i="105"/>
  <c r="G17" i="105"/>
  <c r="G16" i="105"/>
  <c r="G15" i="105"/>
  <c r="G14" i="105"/>
  <c r="G13" i="105"/>
  <c r="G12" i="105"/>
  <c r="G11" i="105"/>
  <c r="G10" i="105"/>
  <c r="G9" i="105"/>
  <c r="G8" i="105"/>
  <c r="G7" i="105"/>
  <c r="G6" i="105"/>
  <c r="I29" i="116" l="1"/>
  <c r="H25" i="168" l="1"/>
  <c r="B19" i="146"/>
  <c r="C19" i="146"/>
  <c r="B19" i="122" l="1"/>
  <c r="B18" i="122"/>
  <c r="G9" i="108" l="1"/>
  <c r="G10" i="108"/>
  <c r="G11" i="108"/>
  <c r="G12" i="108"/>
  <c r="G13" i="108"/>
  <c r="G15" i="108"/>
  <c r="G16" i="108"/>
  <c r="G17" i="108"/>
  <c r="G18" i="108"/>
  <c r="G19" i="108"/>
  <c r="G21" i="108"/>
  <c r="G22" i="108"/>
  <c r="G23" i="108"/>
  <c r="G24" i="108"/>
  <c r="G25" i="108"/>
  <c r="G14" i="108" l="1"/>
  <c r="G20" i="108"/>
  <c r="G26" i="108"/>
  <c r="K7" i="168" l="1"/>
  <c r="K8" i="168"/>
  <c r="K9" i="168"/>
  <c r="K10" i="168"/>
  <c r="K11" i="168"/>
  <c r="K12" i="168"/>
  <c r="I28" i="167"/>
  <c r="J28" i="167"/>
  <c r="I29" i="167"/>
  <c r="J29" i="167"/>
  <c r="I30" i="167"/>
  <c r="J30" i="167"/>
  <c r="I31" i="167"/>
  <c r="J31" i="167"/>
  <c r="I32" i="167"/>
  <c r="J32" i="167"/>
  <c r="I33" i="167"/>
  <c r="J33" i="167"/>
  <c r="K13" i="168" l="1"/>
  <c r="J34" i="167"/>
  <c r="I34" i="167"/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O20" i="146"/>
  <c r="K19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K22" i="146"/>
  <c r="I22" i="146"/>
  <c r="E22" i="146"/>
  <c r="B22" i="146"/>
  <c r="T21" i="146"/>
  <c r="S21" i="146"/>
  <c r="Q21" i="146"/>
  <c r="E26" i="179" s="1"/>
  <c r="P21" i="146"/>
  <c r="O21" i="146"/>
  <c r="N21" i="146"/>
  <c r="E25" i="179" s="1"/>
  <c r="K21" i="146"/>
  <c r="H22" i="179" s="1"/>
  <c r="I21" i="146"/>
  <c r="H19" i="179" s="1"/>
  <c r="E21" i="146"/>
  <c r="E22" i="179" s="1"/>
  <c r="Q20" i="146"/>
  <c r="P20" i="146"/>
  <c r="N20" i="146"/>
  <c r="I20" i="146"/>
  <c r="E20" i="146"/>
  <c r="Q19" i="146"/>
  <c r="P19" i="146"/>
  <c r="O19" i="146"/>
  <c r="N19" i="146"/>
  <c r="E19" i="146"/>
  <c r="D19" i="146"/>
  <c r="G20" i="146" l="1"/>
  <c r="R19" i="146"/>
  <c r="G19" i="146"/>
  <c r="D22" i="146"/>
  <c r="R22" i="146"/>
  <c r="G22" i="146"/>
  <c r="R23" i="146"/>
  <c r="R20" i="146"/>
  <c r="D21" i="146"/>
  <c r="E20" i="179" s="1"/>
  <c r="R21" i="146"/>
  <c r="E27" i="179" s="1"/>
  <c r="G21" i="146"/>
  <c r="E23" i="179" s="1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5" i="170"/>
  <c r="B13" i="170"/>
  <c r="B12" i="170"/>
  <c r="B10" i="170"/>
  <c r="B9" i="170"/>
  <c r="B8" i="170"/>
  <c r="B7" i="170"/>
  <c r="B3" i="170"/>
  <c r="A7" i="170"/>
  <c r="A8" i="170"/>
  <c r="A9" i="170"/>
  <c r="A10" i="170"/>
  <c r="A12" i="170"/>
  <c r="A13" i="170"/>
  <c r="A15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H16" i="179" l="1"/>
  <c r="H14" i="179"/>
  <c r="H13" i="179"/>
  <c r="H12" i="179"/>
  <c r="H10" i="179"/>
  <c r="H9" i="179"/>
  <c r="E16" i="179"/>
  <c r="E14" i="179"/>
  <c r="E13" i="179"/>
  <c r="E12" i="179"/>
  <c r="E10" i="179"/>
  <c r="E9" i="179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B6" i="170" l="1"/>
  <c r="A6" i="170"/>
  <c r="A14" i="170"/>
  <c r="B14" i="170"/>
  <c r="B16" i="170"/>
  <c r="A16" i="170"/>
  <c r="R49" i="128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B11" i="170" l="1"/>
  <c r="A11" i="170"/>
  <c r="N30" i="146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B5" i="170" l="1"/>
  <c r="A5" i="170"/>
  <c r="A57" i="108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H23" i="108"/>
  <c r="H22" i="108"/>
  <c r="H21" i="108"/>
  <c r="H20" i="108"/>
  <c r="H18" i="108"/>
  <c r="H17" i="108"/>
  <c r="H16" i="108"/>
  <c r="H15" i="108"/>
  <c r="H14" i="108"/>
  <c r="H12" i="108"/>
  <c r="H11" i="108"/>
  <c r="H10" i="108"/>
  <c r="H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I30" i="147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<sst xmlns="http://schemas.openxmlformats.org/spreadsheetml/2006/main" count="1557" uniqueCount="327">
  <si>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</si>
  <si>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</si>
  <si>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</si>
  <si>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</si>
  <si>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</si>
  <si>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</si>
  <si>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</si>
  <si>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</si>
  <si>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</si>
  <si>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</si>
  <si>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</si>
  <si>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</si>
  <si>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</si>
  <si>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</si>
  <si>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</si>
  <si>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</si>
  <si>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</si>
  <si>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</si>
  <si>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</si>
  <si>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</si>
  <si>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</si>
  <si>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</si>
  <si>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</si>
  <si>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</si>
  <si>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</si>
  <si>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</si>
  <si>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</si>
  <si>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</si>
  <si>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</si>
  <si>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</si>
  <si>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</si>
  <si>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</si>
  <si>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</si>
  <si>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</si>
  <si>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</si>
  <si>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</si>
  <si>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</si>
  <si>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</si>
  <si>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</si>
  <si>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</si>
  <si>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</si>
  <si>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</si>
  <si>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</si>
  <si>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</si>
  <si>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</si>
  <si>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</si>
  <si>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</si>
  <si>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</si>
  <si>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</si>
  <si>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</si>
  <si>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</si>
  <si>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</si>
  <si>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</si>
  <si>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</si>
  <si>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</si>
  <si>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</si>
  <si>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</si>
  <si>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</si>
  <si>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</si>
  <si>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</si>
  <si>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</si>
  <si>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</si>
  <si>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</si>
  <si>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</si>
  <si>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</si>
  <si>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</si>
  <si>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</si>
  <si>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</si>
  <si>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</si>
  <si>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</si>
  <si>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</si>
  <si>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</si>
  <si>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</si>
  <si>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</si>
  <si>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</si>
  <si>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</si>
  <si>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</si>
  <si>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</si>
  <si>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</si>
  <si>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</si>
  <si>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</si>
  <si>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</si>
  <si>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</si>
  <si>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</si>
  <si>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</si>
  <si>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</si>
  <si>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</si>
  <si>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</si>
  <si>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</si>
  <si>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</si>
  <si>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</si>
  <si>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</si>
  <si>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</si>
  <si>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</si>
  <si>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</si>
  <si>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</si>
  <si>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</si>
  <si>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</si>
  <si>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</si>
  <si>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</si>
  <si>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</si>
  <si>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</si>
  <si>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</si>
  <si>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</si>
  <si>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</si>
  <si>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</si>
  <si>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</si>
  <si>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</si>
  <si>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</si>
  <si>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</si>
  <si>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</si>
  <si>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</si>
  <si>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</si>
  <si>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</si>
  <si>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</si>
  <si>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</si>
  <si>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</si>
  <si>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</si>
  <si>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</si>
  <si>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</si>
  <si>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</si>
  <si>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</si>
  <si>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</si>
  <si>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</si>
  <si>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</si>
  <si>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</si>
  <si>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</si>
  <si>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</si>
  <si>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</si>
  <si>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</si>
  <si>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</si>
  <si>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</si>
  <si>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</si>
  <si>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</si>
  <si>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</si>
  <si>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</si>
  <si>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</si>
  <si>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</si>
  <si>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</si>
  <si>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</si>
  <si>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</si>
  <si>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</si>
  <si>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</si>
  <si>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</si>
  <si>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</si>
  <si>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</si>
  <si>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</si>
  <si>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</si>
  <si>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</si>
  <si>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</si>
  <si>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</si>
  <si>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</si>
  <si>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</si>
  <si>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</si>
  <si>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</si>
  <si>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</si>
  <si>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</si>
  <si>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</si>
  <si>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</si>
  <si>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</si>
  <si>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</si>
  <si>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</si>
  <si>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</si>
  <si>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</si>
  <si>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</si>
  <si>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</si>
  <si>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</si>
  <si>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</si>
  <si>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</si>
  <si>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</si>
  <si>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</si>
  <si>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</si>
  <si>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</si>
  <si>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</si>
  <si>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</si>
  <si>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</si>
  <si>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</si>
  <si>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</si>
  <si>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</si>
  <si>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</si>
  <si>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</si>
  <si>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</si>
  <si>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</si>
  <si>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</si>
  <si>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</si>
  <si>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</si>
  <si>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</si>
  <si>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</si>
  <si>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</si>
  <si>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</si>
  <si>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</si>
  <si>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</si>
  <si>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</si>
  <si>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</si>
  <si>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</si>
  <si>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</si>
  <si>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</si>
  <si>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</si>
  <si>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</si>
  <si>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NET4GAS, s.r.o. (provozovatel přepravní plynárenské soustavy)</t>
  </si>
  <si>
    <t>±1,0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</si>
  <si>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</si>
  <si>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</si>
  <si>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</si>
  <si>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</si>
  <si>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</si>
  <si>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</si>
  <si>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</si>
  <si>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</si>
  <si>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</si>
  <si>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</si>
  <si>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</si>
  <si>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</si>
  <si>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</si>
  <si>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</si>
  <si>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</si>
  <si>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</si>
  <si>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</si>
  <si>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</si>
  <si>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</si>
  <si>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</si>
  <si>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</si>
  <si>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</si>
  <si>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GasNet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</si>
  <si>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</si>
  <si>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</si>
  <si>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</si>
  <si>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</si>
  <si>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</si>
  <si>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</si>
  <si>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</si>
  <si>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</si>
  <si>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</si>
  <si>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</si>
  <si>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</si>
  <si>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</si>
  <si>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</si>
  <si>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</si>
  <si>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</si>
  <si>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</si>
  <si>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</si>
  <si>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</si>
  <si>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</si>
  <si>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</si>
  <si>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</si>
  <si>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</si>
  <si>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</si>
  <si>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</si>
  <si>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</si>
  <si>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</si>
  <si>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</si>
  <si>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</si>
  <si>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</si>
  <si>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</si>
  <si>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</si>
  <si>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</si>
  <si>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</si>
  <si>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</si>
  <si>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</si>
  <si>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</si>
  <si>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</si>
  <si>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</si>
  <si>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</si>
  <si>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</si>
  <si>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</si>
  <si>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</si>
  <si>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</si>
  <si>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</si>
  <si>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</si>
  <si>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</si>
  <si>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</si>
  <si>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</si>
  <si>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</si>
  <si>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</si>
  <si>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</si>
  <si>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</si>
  <si>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</si>
  <si>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</si>
  <si>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</si>
  <si>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</si>
  <si>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</si>
  <si>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</si>
  <si>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</si>
  <si>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</si>
  <si>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5.3 Spotřeba zemního plynu u společnosti GasNet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</si>
  <si>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</si>
  <si>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</si>
  <si>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</si>
  <si>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</si>
  <si>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</si>
  <si>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</si>
  <si>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</si>
  <si>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</si>
  <si>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</si>
  <si>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</si>
  <si>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</si>
  <si>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</si>
  <si>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</si>
  <si>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</si>
  <si>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</si>
  <si>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</si>
  <si>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GS CZ</t>
  </si>
  <si>
    <t>plyn.statistika@eru.gov.cz</t>
  </si>
  <si>
    <t>MND GS</t>
  </si>
  <si>
    <t>Společnost MND Gas Storage a.s. (provozovatel zásobníku plynu)</t>
  </si>
  <si>
    <t>Společnost Gas Storage CZ, a.s. (provozovatel zásobníků plynu)</t>
  </si>
  <si>
    <t>* Prognóza spotřeby plynu do konce roku 2025 byla zpracována v prosinci 2024.</t>
  </si>
  <si>
    <t>PPD</t>
  </si>
  <si>
    <t>Podíl / meziroční změna u společnosti PPD</t>
  </si>
  <si>
    <t>Společnost Pražská plynárenská Distribuce, a.s. (provozovatel regionální distribuční soustavy)</t>
  </si>
  <si>
    <t>5.2 Spotřeba zemního plynu u společnosti PPD</t>
  </si>
  <si>
    <t>Společnost Gas Distribution s.r.o. (provozovatel regionální distribuční soustavy)</t>
  </si>
  <si>
    <t>Gas Distribution s.r.o.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</si>
  <si>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ERÚ získává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2025, kterou ERÚ předpokládá zveřejnit do konce května roku 2026.
</t>
  </si>
  <si>
    <t>GasD</t>
  </si>
  <si>
    <t>5.4 Spotřeba zemního plynu u společnosti GasD</t>
  </si>
  <si>
    <t xml:space="preserve"> GasD</t>
  </si>
  <si>
    <t>Podíl / meziroční změna u společnosti GasD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</si>
  <si>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III. ČTVRTLETÍ 2025</t>
    </r>
  </si>
  <si>
    <t>SPP S</t>
  </si>
  <si>
    <t>Společnost SPP Storage, s.r.o. (provozovatel zásobníku plynu)</t>
  </si>
  <si>
    <t>X</t>
  </si>
  <si>
    <t xml:space="preserve"> Průměr</t>
  </si>
  <si>
    <t xml:space="preserve"> Max.</t>
  </si>
  <si>
    <t xml:space="preserve"> Min.</t>
  </si>
  <si>
    <t xml:space="preserve"> Normál</t>
  </si>
  <si>
    <t xml:space="preserve"> Odchylka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</si>
</sst>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#,##0.000000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36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165" fontId="122" fillId="0" borderId="0" xfId="0" applyNumberFormat="1" applyFont="1" applyFill="1"/>
    <xf numFmtId="185" fontId="45" fillId="0" borderId="0" xfId="2" applyNumberFormat="1" applyFont="1" applyFill="1" applyBorder="1"/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34" xfId="20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4" fontId="45" fillId="0" borderId="0" xfId="1" applyNumberFormat="1" applyFont="1" applyFill="1" applyBorder="1"/>
    <xf numFmtId="0" fontId="45" fillId="0" borderId="26" xfId="0" applyFont="1" applyFill="1" applyBorder="1" applyAlignment="1">
      <alignment horizontal="left" vertical="center"/>
    </xf>
    <xf numFmtId="0" fontId="9" fillId="0" borderId="30" xfId="0" applyFont="1" applyFill="1" applyBorder="1"/>
    <xf numFmtId="0" fontId="9" fillId="0" borderId="33" xfId="0" applyFont="1" applyFill="1" applyBorder="1"/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9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center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473.40953888750795</c:v>
                </c:pt>
                <c:pt idx="1">
                  <c:v>461.50851106068399</c:v>
                </c:pt>
                <c:pt idx="2">
                  <c:v>552.47851596758403</c:v>
                </c:pt>
                <c:pt idx="3">
                  <c:v>767.13788919740603</c:v>
                </c:pt>
                <c:pt idx="4">
                  <c:v>766.36311755969393</c:v>
                </c:pt>
                <c:pt idx="5">
                  <c:v>906.75012386322101</c:v>
                </c:pt>
                <c:pt idx="6">
                  <c:v>1182.7619264140319</c:v>
                </c:pt>
                <c:pt idx="7">
                  <c:v>780.41650133646408</c:v>
                </c:pt>
                <c:pt idx="8">
                  <c:v>605.91043035048801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-4.9845249681999999E-2</c:v>
                </c:pt>
                <c:pt idx="1">
                  <c:v>-62.372759322020002</c:v>
                </c:pt>
                <c:pt idx="2">
                  <c:v>-0.10006611204199999</c:v>
                </c:pt>
                <c:pt idx="3">
                  <c:v>-6.8492235789510003</c:v>
                </c:pt>
                <c:pt idx="4">
                  <c:v>-7.0807769197289998</c:v>
                </c:pt>
                <c:pt idx="5">
                  <c:v>-29.763241463229999</c:v>
                </c:pt>
                <c:pt idx="6">
                  <c:v>-378.84481369430699</c:v>
                </c:pt>
                <c:pt idx="7">
                  <c:v>-15.458912759427003</c:v>
                </c:pt>
                <c:pt idx="8">
                  <c:v>-26.272808084163003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17969.291971732106</c:v>
                </c:pt>
                <c:pt idx="1">
                  <c:v>7323.1253244423915</c:v>
                </c:pt>
                <c:pt idx="2">
                  <c:v>10675.511187369168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294895.04768843798</c:v>
                </c:pt>
                <c:pt idx="1">
                  <c:v>269858.42491569696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268417.15528838802</c:v>
                </c:pt>
                <c:pt idx="1">
                  <c:v>280152.27687132498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320265.33562107506</c:v>
                </c:pt>
                <c:pt idx="1">
                  <c:v>336544.45143811498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0.3337511817654284</c:v>
                </c:pt>
                <c:pt idx="1">
                  <c:v>0.30438988926294985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0.3037844937913699</c:v>
                </c:pt>
                <c:pt idx="1">
                  <c:v>0.31600095702131858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0.36246432444320148</c:v>
                </c:pt>
                <c:pt idx="1">
                  <c:v>0.37960915371573162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18171.521880729</c:v>
                </c:pt>
                <c:pt idx="1">
                  <c:v>18355.838605499997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18339.85515444</c:v>
                </c:pt>
                <c:pt idx="1">
                  <c:v>16469.439620862002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24769.312184121001</c:v>
                </c:pt>
                <c:pt idx="1">
                  <c:v>24814.627887423005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0.29652933268591486</c:v>
                </c:pt>
                <c:pt idx="1">
                  <c:v>0.30777779177719533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0.29927625469112645</c:v>
                </c:pt>
                <c:pt idx="1">
                  <c:v>0.27614798033787152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0.40419441262295874</c:v>
                </c:pt>
                <c:pt idx="1">
                  <c:v>0.41607422788493331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0.3132944600596797</c:v>
                </c:pt>
                <c:pt idx="1">
                  <c:v>0.31101347767126192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0.30639163140651282</c:v>
                </c:pt>
                <c:pt idx="1">
                  <c:v>0.31149347461620236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0.3803139085338072</c:v>
                </c:pt>
                <c:pt idx="1">
                  <c:v>0.37749304771253583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231294.20180670902</c:v>
                </c:pt>
                <c:pt idx="1">
                  <c:v>226028.31241119697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226198.08793594799</c:v>
                </c:pt>
                <c:pt idx="1">
                  <c:v>226377.14906046301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280772.28653695399</c:v>
                </c:pt>
                <c:pt idx="1">
                  <c:v>274342.183368692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10883.341000999999</c:v>
                </c:pt>
                <c:pt idx="1">
                  <c:v>8777.576998999999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12372.052999</c:v>
                </c:pt>
                <c:pt idx="1">
                  <c:v>9428.5440000000017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13275.040999999999</c:v>
                </c:pt>
                <c:pt idx="1">
                  <c:v>13241.093002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0.29792530532417694</c:v>
                </c:pt>
                <c:pt idx="1">
                  <c:v>0.27912097391905294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0.33867795439610837</c:v>
                </c:pt>
                <c:pt idx="1">
                  <c:v>0.29982128145597187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0.36339674027971469</c:v>
                </c:pt>
                <c:pt idx="1">
                  <c:v>0.42105774462497503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34545.983</c:v>
                </c:pt>
                <c:pt idx="1">
                  <c:v>16696.696899999999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11507.159199000002</c:v>
                </c:pt>
                <c:pt idx="1">
                  <c:v>27877.144189999995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1448.6958999999993</c:v>
                </c:pt>
                <c:pt idx="1">
                  <c:v>24146.547180000005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567.22816599999999</c:v>
                </c:pt>
                <c:pt idx="1">
                  <c:v>555.605772</c:v>
                </c:pt>
                <c:pt idx="2">
                  <c:v>188.32898499999999</c:v>
                </c:pt>
                <c:pt idx="3">
                  <c:v>10.225211999999999</c:v>
                </c:pt>
                <c:pt idx="4">
                  <c:v>12.769877000000001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7.0777000000000007E-2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-1.5706849999999999</c:v>
                </c:pt>
                <c:pt idx="1">
                  <c:v>-1.1973499999999999</c:v>
                </c:pt>
                <c:pt idx="2">
                  <c:v>-1.9775699999999998</c:v>
                </c:pt>
                <c:pt idx="3">
                  <c:v>-282.18140500000004</c:v>
                </c:pt>
                <c:pt idx="4">
                  <c:v>-369.22932899999995</c:v>
                </c:pt>
                <c:pt idx="5">
                  <c:v>-592.22722899999997</c:v>
                </c:pt>
                <c:pt idx="6">
                  <c:v>-529.27211299999999</c:v>
                </c:pt>
                <c:pt idx="7">
                  <c:v>-512.76480400000003</c:v>
                </c:pt>
                <c:pt idx="8">
                  <c:v>-254.451616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0.72725571014750401</c:v>
                </c:pt>
                <c:pt idx="1">
                  <c:v>0.2429656950481604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0.24224660896316452</c:v>
                </c:pt>
                <c:pt idx="1">
                  <c:v>0.40566045815212326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3.0497680889331674E-2</c:v>
                </c:pt>
                <c:pt idx="1">
                  <c:v>0.35137384679971639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18171.521880729</c:v>
                </c:pt>
                <c:pt idx="1">
                  <c:v>231294.20180670902</c:v>
                </c:pt>
                <c:pt idx="2">
                  <c:v>10883.341000999999</c:v>
                </c:pt>
                <c:pt idx="3">
                  <c:v>34545.983</c:v>
                </c:pt>
                <c:pt idx="4">
                  <c:v>294895.04768843803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19.967741935483875</c:v>
                </c:pt>
                <c:pt idx="1">
                  <c:v>18.149999999999999</c:v>
                </c:pt>
                <c:pt idx="2">
                  <c:v>17.654838709677424</c:v>
                </c:pt>
                <c:pt idx="3">
                  <c:v>18.161290322580648</c:v>
                </c:pt>
                <c:pt idx="4">
                  <c:v>18.161290322580648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27.6</c:v>
                </c:pt>
                <c:pt idx="1">
                  <c:v>24.283333333333331</c:v>
                </c:pt>
                <c:pt idx="2">
                  <c:v>24</c:v>
                </c:pt>
                <c:pt idx="3">
                  <c:v>24.2</c:v>
                </c:pt>
                <c:pt idx="4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15</c:v>
                </c:pt>
                <c:pt idx="1">
                  <c:v>13.666666666666666</c:v>
                </c:pt>
                <c:pt idx="2">
                  <c:v>12.5</c:v>
                </c:pt>
                <c:pt idx="3">
                  <c:v>13.5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6.1620301945278996E-2</c:v>
                </c:pt>
                <c:pt idx="1">
                  <c:v>0.78432718222882991</c:v>
                </c:pt>
                <c:pt idx="2">
                  <c:v>3.6905811360041715E-2</c:v>
                </c:pt>
                <c:pt idx="3">
                  <c:v>0.11714670446584935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18339.85515444</c:v>
                </c:pt>
                <c:pt idx="1">
                  <c:v>226198.08793594799</c:v>
                </c:pt>
                <c:pt idx="2">
                  <c:v>12372.052999</c:v>
                </c:pt>
                <c:pt idx="3">
                  <c:v>11507.159199000002</c:v>
                </c:pt>
                <c:pt idx="4">
                  <c:v>268417.15528838802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170619442686651"/>
          <c:y val="0.20497323309304039"/>
          <c:w val="0.56803740781711498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19.693548387096776</c:v>
                </c:pt>
                <c:pt idx="1">
                  <c:v>17.835483870967742</c:v>
                </c:pt>
                <c:pt idx="2">
                  <c:v>17.587096774193544</c:v>
                </c:pt>
                <c:pt idx="3">
                  <c:v>17.899999999999999</c:v>
                </c:pt>
                <c:pt idx="4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28</c:v>
                </c:pt>
                <c:pt idx="1">
                  <c:v>24.8</c:v>
                </c:pt>
                <c:pt idx="2">
                  <c:v>23.9</c:v>
                </c:pt>
                <c:pt idx="3">
                  <c:v>24.7</c:v>
                </c:pt>
                <c:pt idx="4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13.4</c:v>
                </c:pt>
                <c:pt idx="1">
                  <c:v>11.933333333333332</c:v>
                </c:pt>
                <c:pt idx="2">
                  <c:v>11</c:v>
                </c:pt>
                <c:pt idx="3">
                  <c:v>11.9</c:v>
                </c:pt>
                <c:pt idx="4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6.8325942634835005E-2</c:v>
                </c:pt>
                <c:pt idx="1">
                  <c:v>0.8427109947310194</c:v>
                </c:pt>
                <c:pt idx="2">
                  <c:v>4.6092631395737119E-2</c:v>
                </c:pt>
                <c:pt idx="3">
                  <c:v>4.2870431238408301E-2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24769.312184121001</c:v>
                </c:pt>
                <c:pt idx="1">
                  <c:v>280772.28653695399</c:v>
                </c:pt>
                <c:pt idx="2">
                  <c:v>13275.040999999999</c:v>
                </c:pt>
                <c:pt idx="3">
                  <c:v>1448.6958999999993</c:v>
                </c:pt>
                <c:pt idx="4">
                  <c:v>320265.33562107501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1044.1231458692557</c:v>
                </c:pt>
                <c:pt idx="1">
                  <c:v>961.93776684198417</c:v>
                </c:pt>
                <c:pt idx="2">
                  <c:v>750.99543483566788</c:v>
                </c:pt>
                <c:pt idx="3">
                  <c:v>502.89818413239283</c:v>
                </c:pt>
                <c:pt idx="4">
                  <c:v>414.64388831417494</c:v>
                </c:pt>
                <c:pt idx="5">
                  <c:v>299.40920238396802</c:v>
                </c:pt>
                <c:pt idx="6">
                  <c:v>294.89504768843807</c:v>
                </c:pt>
                <c:pt idx="7">
                  <c:v>268.41715528838796</c:v>
                </c:pt>
                <c:pt idx="8">
                  <c:v>320.26533562107511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1108.1088840000853</c:v>
                </c:pt>
                <c:pt idx="1">
                  <c:v>932.91698346401404</c:v>
                </c:pt>
                <c:pt idx="2">
                  <c:v>810.13775562788601</c:v>
                </c:pt>
                <c:pt idx="3">
                  <c:v>557.38442108344702</c:v>
                </c:pt>
                <c:pt idx="4">
                  <c:v>381.56750196106975</c:v>
                </c:pt>
                <c:pt idx="5">
                  <c:v>303.1602252985378</c:v>
                </c:pt>
                <c:pt idx="6">
                  <c:v>293.56246588155869</c:v>
                </c:pt>
                <c:pt idx="7">
                  <c:v>267.8776735482196</c:v>
                </c:pt>
                <c:pt idx="8">
                  <c:v>329.02307469110218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15.443333333333335</c:v>
                </c:pt>
                <c:pt idx="1">
                  <c:v>14.108333333333333</c:v>
                </c:pt>
                <c:pt idx="2">
                  <c:v>13.543333333333335</c:v>
                </c:pt>
                <c:pt idx="3">
                  <c:v>14.100000000000001</c:v>
                </c:pt>
                <c:pt idx="4">
                  <c:v>14.100000000000001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21.7</c:v>
                </c:pt>
                <c:pt idx="1">
                  <c:v>19.966666666666665</c:v>
                </c:pt>
                <c:pt idx="2">
                  <c:v>19.399999999999999</c:v>
                </c:pt>
                <c:pt idx="3">
                  <c:v>19.8</c:v>
                </c:pt>
                <c:pt idx="4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8</c:v>
                </c:pt>
                <c:pt idx="1">
                  <c:v>6.3833333333333329</c:v>
                </c:pt>
                <c:pt idx="2">
                  <c:v>5.6</c:v>
                </c:pt>
                <c:pt idx="3">
                  <c:v>6.3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7.7339972295431464E-2</c:v>
                </c:pt>
                <c:pt idx="1">
                  <c:v>0.87668646996237021</c:v>
                </c:pt>
                <c:pt idx="2">
                  <c:v>4.1450133759422816E-2</c:v>
                </c:pt>
                <c:pt idx="3">
                  <c:v>4.5234239827754499E-3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61280.689219289998</c:v>
                </c:pt>
                <c:pt idx="1">
                  <c:v>738264.57627961121</c:v>
                </c:pt>
                <c:pt idx="2">
                  <c:v>36530.434999999998</c:v>
                </c:pt>
                <c:pt idx="3">
                  <c:v>47501.838098999993</c:v>
                </c:pt>
                <c:pt idx="4">
                  <c:v>883577.53859790124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54129206302675"/>
          <c:y val="0.20497323309304039"/>
          <c:w val="0.5843306816137140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18.368207885304663</c:v>
                </c:pt>
                <c:pt idx="1">
                  <c:v>16.697939068100357</c:v>
                </c:pt>
                <c:pt idx="2">
                  <c:v>16.261756272401435</c:v>
                </c:pt>
                <c:pt idx="3">
                  <c:v>16.720430107526884</c:v>
                </c:pt>
                <c:pt idx="4">
                  <c:v>16.720430107526884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28</c:v>
                </c:pt>
                <c:pt idx="1">
                  <c:v>24.8</c:v>
                </c:pt>
                <c:pt idx="2">
                  <c:v>24</c:v>
                </c:pt>
                <c:pt idx="3">
                  <c:v>24.7</c:v>
                </c:pt>
                <c:pt idx="4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8</c:v>
                </c:pt>
                <c:pt idx="1">
                  <c:v>6.3833333333333329</c:v>
                </c:pt>
                <c:pt idx="2">
                  <c:v>5.6</c:v>
                </c:pt>
                <c:pt idx="3">
                  <c:v>6.3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6.9355191301640404E-2</c:v>
                </c:pt>
                <c:pt idx="1">
                  <c:v>0.83554022598981081</c:v>
                </c:pt>
                <c:pt idx="2">
                  <c:v>4.1343779582681629E-2</c:v>
                </c:pt>
                <c:pt idx="3">
                  <c:v>5.3760803125867083E-2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314387.16037437099</c:v>
                </c:pt>
                <c:pt idx="1">
                  <c:v>2213513.5340925371</c:v>
                </c:pt>
                <c:pt idx="2">
                  <c:v>108920.49400000001</c:v>
                </c:pt>
                <c:pt idx="3">
                  <c:v>120235.15907999998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102643.98878967899</c:v>
                </c:pt>
                <c:pt idx="1">
                  <c:v>966426.08492085687</c:v>
                </c:pt>
                <c:pt idx="2">
                  <c:v>46694.846999999994</c:v>
                </c:pt>
                <c:pt idx="3">
                  <c:v>101186.35412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61280.689219290005</c:v>
                </c:pt>
                <c:pt idx="1">
                  <c:v>738264.57627961098</c:v>
                </c:pt>
                <c:pt idx="2">
                  <c:v>36530.434999999998</c:v>
                </c:pt>
                <c:pt idx="3">
                  <c:v>47501.838099000001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108329.345117</c:v>
                </c:pt>
                <c:pt idx="1">
                  <c:v>280929.31732999999</c:v>
                </c:pt>
                <c:pt idx="2">
                  <c:v>117042.1149</c:v>
                </c:pt>
                <c:pt idx="3">
                  <c:v>104115.40404000001</c:v>
                </c:pt>
                <c:pt idx="4">
                  <c:v>97008.896479999981</c:v>
                </c:pt>
                <c:pt idx="5">
                  <c:v>395293.2771500001</c:v>
                </c:pt>
                <c:pt idx="6">
                  <c:v>199338.27625000002</c:v>
                </c:pt>
                <c:pt idx="7">
                  <c:v>130973.895748</c:v>
                </c:pt>
                <c:pt idx="8">
                  <c:v>142502.98478</c:v>
                </c:pt>
                <c:pt idx="9">
                  <c:v>167294.28098744201</c:v>
                </c:pt>
                <c:pt idx="10">
                  <c:v>409711.89231756201</c:v>
                </c:pt>
                <c:pt idx="11">
                  <c:v>813871.34034699993</c:v>
                </c:pt>
                <c:pt idx="12">
                  <c:v>100304.359692</c:v>
                </c:pt>
                <c:pt idx="13">
                  <c:v>173186.42184000002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17.429032258064513</c:v>
                </c:pt>
                <c:pt idx="1">
                  <c:v>19.654838709677414</c:v>
                </c:pt>
                <c:pt idx="2">
                  <c:v>16.361290322580647</c:v>
                </c:pt>
                <c:pt idx="3">
                  <c:v>17.703225806451616</c:v>
                </c:pt>
                <c:pt idx="4">
                  <c:v>17.267741935483869</c:v>
                </c:pt>
                <c:pt idx="5">
                  <c:v>18.325806451612905</c:v>
                </c:pt>
                <c:pt idx="6">
                  <c:v>18.387096774193548</c:v>
                </c:pt>
                <c:pt idx="7">
                  <c:v>18.245161290322585</c:v>
                </c:pt>
                <c:pt idx="8">
                  <c:v>18.08064516129032</c:v>
                </c:pt>
                <c:pt idx="9">
                  <c:v>20.348387096774193</c:v>
                </c:pt>
                <c:pt idx="10">
                  <c:v>18.780645161290323</c:v>
                </c:pt>
                <c:pt idx="11">
                  <c:v>18.077419354838717</c:v>
                </c:pt>
                <c:pt idx="12">
                  <c:v>17.819354838709675</c:v>
                </c:pt>
                <c:pt idx="13">
                  <c:v>17.86129032258064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 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0.45806774193548383</c:v>
                </c:pt>
                <c:pt idx="1">
                  <c:v>-0.79639285714285712</c:v>
                </c:pt>
                <c:pt idx="2">
                  <c:v>5.258064516129032</c:v>
                </c:pt>
                <c:pt idx="3">
                  <c:v>10.493333333333334</c:v>
                </c:pt>
                <c:pt idx="4">
                  <c:v>11.441935483870969</c:v>
                </c:pt>
                <c:pt idx="5">
                  <c:v>18.329999999999998</c:v>
                </c:pt>
                <c:pt idx="6">
                  <c:v>18.161290322580648</c:v>
                </c:pt>
                <c:pt idx="7">
                  <c:v>17.899999999999999</c:v>
                </c:pt>
                <c:pt idx="8">
                  <c:v>14.100000000000001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 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-1.1741935483870967</c:v>
                </c:pt>
                <c:pt idx="1">
                  <c:v>0.26896551724137935</c:v>
                </c:pt>
                <c:pt idx="2">
                  <c:v>3.4870967741935481</c:v>
                </c:pt>
                <c:pt idx="3">
                  <c:v>8.6933333333333316</c:v>
                </c:pt>
                <c:pt idx="4">
                  <c:v>13.409677419354839</c:v>
                </c:pt>
                <c:pt idx="5">
                  <c:v>17</c:v>
                </c:pt>
                <c:pt idx="6">
                  <c:v>18.674193548387095</c:v>
                </c:pt>
                <c:pt idx="7">
                  <c:v>18.203225806451616</c:v>
                </c:pt>
                <c:pt idx="8">
                  <c:v>13.360000000000001</c:v>
                </c:pt>
                <c:pt idx="9">
                  <c:v>8.6774193548387117</c:v>
                </c:pt>
                <c:pt idx="10">
                  <c:v>3.9166666666666656</c:v>
                </c:pt>
                <c:pt idx="11">
                  <c:v>-8.0645161290322551E-2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17.42258064516129</c:v>
                </c:pt>
                <c:pt idx="1">
                  <c:v>19.554838709677416</c:v>
                </c:pt>
                <c:pt idx="2">
                  <c:v>16.135483870967743</c:v>
                </c:pt>
                <c:pt idx="3">
                  <c:v>17.019354838709681</c:v>
                </c:pt>
                <c:pt idx="4">
                  <c:v>16.703225806451613</c:v>
                </c:pt>
                <c:pt idx="5">
                  <c:v>18.203225806451613</c:v>
                </c:pt>
                <c:pt idx="6">
                  <c:v>18.006451612903227</c:v>
                </c:pt>
                <c:pt idx="7">
                  <c:v>17.783870967741937</c:v>
                </c:pt>
                <c:pt idx="8">
                  <c:v>17.545161290322579</c:v>
                </c:pt>
                <c:pt idx="9">
                  <c:v>20.080645161290324</c:v>
                </c:pt>
                <c:pt idx="10">
                  <c:v>18.316129032258058</c:v>
                </c:pt>
                <c:pt idx="11">
                  <c:v>17.670967741935481</c:v>
                </c:pt>
                <c:pt idx="12">
                  <c:v>17.767741935483869</c:v>
                </c:pt>
                <c:pt idx="13">
                  <c:v>17.932258064516127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125834.106589</c:v>
                </c:pt>
                <c:pt idx="1">
                  <c:v>279231.27129</c:v>
                </c:pt>
                <c:pt idx="2">
                  <c:v>120876.74722999999</c:v>
                </c:pt>
                <c:pt idx="3">
                  <c:v>113097.41432</c:v>
                </c:pt>
                <c:pt idx="4">
                  <c:v>97583.933840000012</c:v>
                </c:pt>
                <c:pt idx="5">
                  <c:v>348529.10950000002</c:v>
                </c:pt>
                <c:pt idx="6">
                  <c:v>195199.96876000002</c:v>
                </c:pt>
                <c:pt idx="7">
                  <c:v>131579.15129200002</c:v>
                </c:pt>
                <c:pt idx="8">
                  <c:v>121308.94663999999</c:v>
                </c:pt>
                <c:pt idx="9">
                  <c:v>168037.73590221797</c:v>
                </c:pt>
                <c:pt idx="10">
                  <c:v>422182.54974677903</c:v>
                </c:pt>
                <c:pt idx="11">
                  <c:v>586428.32687500003</c:v>
                </c:pt>
                <c:pt idx="12">
                  <c:v>107029.38077999999</c:v>
                </c:pt>
                <c:pt idx="13">
                  <c:v>143752.80308000001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13.456666666666667</c:v>
                </c:pt>
                <c:pt idx="1">
                  <c:v>12.626666666666669</c:v>
                </c:pt>
                <c:pt idx="2">
                  <c:v>12.533333333333337</c:v>
                </c:pt>
                <c:pt idx="3">
                  <c:v>13.536666666666664</c:v>
                </c:pt>
                <c:pt idx="4">
                  <c:v>13.516666666666664</c:v>
                </c:pt>
                <c:pt idx="5">
                  <c:v>14.610000000000005</c:v>
                </c:pt>
                <c:pt idx="6">
                  <c:v>14.346666666666668</c:v>
                </c:pt>
                <c:pt idx="7">
                  <c:v>14.123333333333337</c:v>
                </c:pt>
                <c:pt idx="8">
                  <c:v>13.736666666666666</c:v>
                </c:pt>
                <c:pt idx="9">
                  <c:v>15.803333333333333</c:v>
                </c:pt>
                <c:pt idx="10">
                  <c:v>14.546666666666669</c:v>
                </c:pt>
                <c:pt idx="11">
                  <c:v>14.15</c:v>
                </c:pt>
                <c:pt idx="12">
                  <c:v>13.656666666666666</c:v>
                </c:pt>
                <c:pt idx="13">
                  <c:v>14.51333333333333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133190.04280699999</c:v>
                </c:pt>
                <c:pt idx="1">
                  <c:v>352143.57253</c:v>
                </c:pt>
                <c:pt idx="2">
                  <c:v>173232.16219999999</c:v>
                </c:pt>
                <c:pt idx="3">
                  <c:v>144357.68417999998</c:v>
                </c:pt>
                <c:pt idx="4">
                  <c:v>126662.16012999999</c:v>
                </c:pt>
                <c:pt idx="5">
                  <c:v>455597.41553</c:v>
                </c:pt>
                <c:pt idx="6">
                  <c:v>260798.89516999997</c:v>
                </c:pt>
                <c:pt idx="7">
                  <c:v>156297.935933</c:v>
                </c:pt>
                <c:pt idx="8">
                  <c:v>170739.31439000001</c:v>
                </c:pt>
                <c:pt idx="9">
                  <c:v>231296.484329953</c:v>
                </c:pt>
                <c:pt idx="10">
                  <c:v>483321.42048705509</c:v>
                </c:pt>
                <c:pt idx="11">
                  <c:v>524057.46883300005</c:v>
                </c:pt>
                <c:pt idx="12">
                  <c:v>129674.07980000001</c:v>
                </c:pt>
                <c:pt idx="13">
                  <c:v>178316.55275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16.102759856630822</c:v>
                </c:pt>
                <c:pt idx="1">
                  <c:v>17.278781362007166</c:v>
                </c:pt>
                <c:pt idx="2">
                  <c:v>15.01003584229391</c:v>
                </c:pt>
                <c:pt idx="3">
                  <c:v>16.086415770609321</c:v>
                </c:pt>
                <c:pt idx="4">
                  <c:v>15.82921146953405</c:v>
                </c:pt>
                <c:pt idx="5">
                  <c:v>17.046344086021509</c:v>
                </c:pt>
                <c:pt idx="6">
                  <c:v>16.913405017921146</c:v>
                </c:pt>
                <c:pt idx="7">
                  <c:v>16.717455197132619</c:v>
                </c:pt>
                <c:pt idx="8">
                  <c:v>16.454157706093188</c:v>
                </c:pt>
                <c:pt idx="9">
                  <c:v>18.744121863799283</c:v>
                </c:pt>
                <c:pt idx="10">
                  <c:v>17.21448028673835</c:v>
                </c:pt>
                <c:pt idx="11">
                  <c:v>16.632795698924731</c:v>
                </c:pt>
                <c:pt idx="12">
                  <c:v>16.41458781362007</c:v>
                </c:pt>
                <c:pt idx="13">
                  <c:v>16.768960573476697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367353.49451300001</c:v>
                </c:pt>
                <c:pt idx="1">
                  <c:v>912304.16114999994</c:v>
                </c:pt>
                <c:pt idx="2">
                  <c:v>411151.02433000004</c:v>
                </c:pt>
                <c:pt idx="3">
                  <c:v>361570.50254000002</c:v>
                </c:pt>
                <c:pt idx="4">
                  <c:v>321254.99044999998</c:v>
                </c:pt>
                <c:pt idx="5">
                  <c:v>1199419.8021800001</c:v>
                </c:pt>
                <c:pt idx="6">
                  <c:v>655337.14017999999</c:v>
                </c:pt>
                <c:pt idx="7">
                  <c:v>418850.98297299998</c:v>
                </c:pt>
                <c:pt idx="8">
                  <c:v>434551.24580999993</c:v>
                </c:pt>
                <c:pt idx="9">
                  <c:v>566628.50121961301</c:v>
                </c:pt>
                <c:pt idx="10">
                  <c:v>1315215.862551396</c:v>
                </c:pt>
                <c:pt idx="11">
                  <c:v>1924357.1360550001</c:v>
                </c:pt>
                <c:pt idx="12">
                  <c:v>337007.82027199998</c:v>
                </c:pt>
                <c:pt idx="13">
                  <c:v>495255.77766999998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90820939049287"/>
          <c:y val="0.27798478959689077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318616943715369"/>
                  <c:y val="9.1206415698748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1502</c:v>
                </c:pt>
                <c:pt idx="1">
                  <c:v>5614</c:v>
                </c:pt>
                <c:pt idx="2">
                  <c:v>201321</c:v>
                </c:pt>
                <c:pt idx="3">
                  <c:v>2511366</c:v>
                </c:pt>
                <c:pt idx="4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3.7516674052107117E-2"/>
          <c:w val="0.65942831101096278"/>
          <c:h val="0.77124177659610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1084.544006860106</c:v>
                </c:pt>
                <c:pt idx="1">
                  <c:v>725.74626436719291</c:v>
                </c:pt>
                <c:pt idx="2">
                  <c:v>618.39554879407603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269.69631079680198</c:v>
                </c:pt>
                <c:pt idx="1">
                  <c:v>101.02504191926101</c:v>
                </c:pt>
                <c:pt idx="2">
                  <c:v>72.21183584489799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475.99909442225191</c:v>
                </c:pt>
                <c:pt idx="1">
                  <c:v>125.289724150155</c:v>
                </c:pt>
                <c:pt idx="2">
                  <c:v>59.339693812828003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849.42849342468298</c:v>
                </c:pt>
                <c:pt idx="1">
                  <c:v>230.41774044701401</c:v>
                </c:pt>
                <c:pt idx="2">
                  <c:v>109.664823169787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22.488188687992</c:v>
                </c:pt>
                <c:pt idx="1">
                  <c:v>22.440553902093999</c:v>
                </c:pt>
                <c:pt idx="2">
                  <c:v>22.271676797452002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5.4004377678468912E-2"/>
          <c:w val="0.63799208378695416"/>
          <c:h val="0.75963114224005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11796.917328104002</c:v>
                </c:pt>
                <c:pt idx="1">
                  <c:v>7954.5144187609994</c:v>
                </c:pt>
                <c:pt idx="2">
                  <c:v>6815.1706336679999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2933.73977182</c:v>
                </c:pt>
                <c:pt idx="1">
                  <c:v>1107.452567646</c:v>
                </c:pt>
                <c:pt idx="2">
                  <c:v>796.16890677499998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5176.7940260874402</c:v>
                </c:pt>
                <c:pt idx="1">
                  <c:v>1373.3357378222183</c:v>
                </c:pt>
                <c:pt idx="2">
                  <c:v>654.22452983032485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9235.9230908664886</c:v>
                </c:pt>
                <c:pt idx="1">
                  <c:v>2525.9334403297698</c:v>
                </c:pt>
                <c:pt idx="2">
                  <c:v>1209.320377169684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244.56082436000003</c:v>
                </c:pt>
                <c:pt idx="1">
                  <c:v>245.90214924399999</c:v>
                </c:pt>
                <c:pt idx="2">
                  <c:v>245.37399445099999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11611.907014934764</c:v>
                </c:pt>
                <c:pt idx="1">
                  <c:v>6606.750909312228</c:v>
                </c:pt>
                <c:pt idx="2">
                  <c:v>9512.7434738205793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10443.54052378965</c:v>
                </c:pt>
                <c:pt idx="1">
                  <c:v>6826.7428214690071</c:v>
                </c:pt>
                <c:pt idx="2">
                  <c:v>8658.6179125286471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228600</xdr:colOff>
      <xdr:row>48</xdr:row>
      <xdr:rowOff>142875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029201" y="9496426"/>
          <a:ext cx="62864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61522BB-9151-4AC6-815E-453AC84D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247650</xdr:colOff>
      <xdr:row>48</xdr:row>
      <xdr:rowOff>142875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5029201" y="9496426"/>
          <a:ext cx="64769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B9605B-7594-4E55-A153-435C1B672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257175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5029201" y="9496426"/>
          <a:ext cx="65722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F9BC3F8-C1D6-4B8C-ADD8-A361E16D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276225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5029201" y="9496426"/>
          <a:ext cx="67627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B71FD72-FE0B-41A4-B80F-24DBEE0F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3</xdr:row>
      <xdr:rowOff>457200</xdr:rowOff>
    </xdr:from>
    <xdr:to>
      <xdr:col>0</xdr:col>
      <xdr:colOff>621141</xdr:colOff>
      <xdr:row>3</xdr:row>
      <xdr:rowOff>819150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65A67E7-25ED-4296-A573-D4C3533E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9650"/>
          <a:ext cx="61161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20</xdr:col>
      <xdr:colOff>220899</xdr:colOff>
      <xdr:row>39</xdr:row>
      <xdr:rowOff>142875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4B5CB82-4300-4BB6-A464-FCF52450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6516924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51</xdr:row>
      <xdr:rowOff>123825</xdr:rowOff>
    </xdr:from>
    <xdr:to>
      <xdr:col>5</xdr:col>
      <xdr:colOff>268210</xdr:colOff>
      <xdr:row>57</xdr:row>
      <xdr:rowOff>152399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979DC28-618F-489C-8272-5CFAC0F6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4867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51</xdr:row>
      <xdr:rowOff>66675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51</xdr:row>
      <xdr:rowOff>66675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38099</xdr:rowOff>
    </xdr:from>
    <xdr:to>
      <xdr:col>9</xdr:col>
      <xdr:colOff>485775</xdr:colOff>
      <xdr:row>51</xdr:row>
      <xdr:rowOff>66674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41.5703125" style="133" customWidth="1"/>
    <col min="2" max="2" width="50.42578125" style="133" customWidth="1"/>
    <col min="3" max="9" width="9.85546875" style="133" customWidth="1"/>
    <col min="10" max="10" width="10.28515625" style="133" customWidth="1"/>
    <col min="11" max="16384" width="9.140625" style="133"/>
  </cols>
  <sheetData>
    <row r="1" spans="1:11" ht="399.75" customHeight="1">
      <c r="A1" s="413" t="s">
        <v>318</v>
      </c>
      <c r="B1" s="414"/>
    </row>
    <row r="2" spans="1:11" ht="380.1" customHeight="1">
      <c r="A2" s="134"/>
      <c r="B2" s="135"/>
      <c r="C2" s="136"/>
      <c r="D2" s="136"/>
      <c r="E2" s="136"/>
      <c r="F2" s="136"/>
      <c r="G2" s="136"/>
      <c r="H2" s="136"/>
      <c r="I2" s="136"/>
      <c r="J2" s="136"/>
      <c r="K2" s="133" t="s">
        <v>245</v>
      </c>
    </row>
    <row r="3" spans="1:11">
      <c r="B3" s="137"/>
      <c r="D3" s="138"/>
      <c r="E3" s="139"/>
      <c r="F3" s="139"/>
      <c r="G3" s="139"/>
      <c r="J3" s="140"/>
    </row>
    <row r="9" spans="1:11">
      <c r="B9" s="141"/>
      <c r="I9" s="142"/>
    </row>
    <row r="10" spans="1:11">
      <c r="B10" s="143"/>
      <c r="C10" s="144"/>
    </row>
    <row r="11" spans="1:11">
      <c r="B11" s="143"/>
      <c r="C11" s="144"/>
    </row>
    <row r="12" spans="1:11">
      <c r="B12" s="143"/>
      <c r="C12" s="144"/>
    </row>
    <row r="13" spans="1:11">
      <c r="A13" s="145"/>
      <c r="B13" s="146"/>
      <c r="C13" s="147"/>
      <c r="D13" s="145"/>
      <c r="E13" s="145"/>
      <c r="F13" s="145"/>
      <c r="G13" s="145"/>
      <c r="H13" s="145"/>
      <c r="I13" s="145"/>
      <c r="J13" s="145"/>
    </row>
    <row r="14" spans="1:11">
      <c r="A14" s="145"/>
      <c r="B14" s="146"/>
      <c r="C14" s="147"/>
      <c r="D14" s="145"/>
      <c r="E14" s="145"/>
      <c r="F14" s="145"/>
      <c r="G14" s="145"/>
      <c r="H14" s="145"/>
      <c r="I14" s="145"/>
      <c r="J14" s="145"/>
    </row>
    <row r="15" spans="1:11">
      <c r="A15" s="145"/>
      <c r="B15" s="146"/>
      <c r="C15" s="147"/>
      <c r="D15" s="145"/>
      <c r="E15" s="145"/>
      <c r="F15" s="145"/>
      <c r="G15" s="145"/>
      <c r="H15" s="145"/>
      <c r="I15" s="145"/>
      <c r="J15" s="145"/>
    </row>
    <row r="16" spans="1:11">
      <c r="A16" s="145"/>
      <c r="B16" s="146"/>
      <c r="C16" s="147"/>
      <c r="D16" s="145"/>
      <c r="E16" s="145"/>
      <c r="F16" s="145"/>
      <c r="G16" s="145"/>
      <c r="H16" s="145"/>
      <c r="I16" s="145"/>
      <c r="J16" s="145"/>
    </row>
    <row r="17" spans="1:10">
      <c r="A17" s="145"/>
      <c r="B17" s="146"/>
      <c r="C17" s="147"/>
      <c r="D17" s="145"/>
      <c r="E17" s="145"/>
      <c r="F17" s="145"/>
      <c r="G17" s="145"/>
      <c r="H17" s="145"/>
      <c r="I17" s="145"/>
      <c r="J17" s="145"/>
    </row>
    <row r="18" spans="1:10">
      <c r="A18" s="145"/>
      <c r="B18" s="146"/>
      <c r="C18" s="147"/>
      <c r="D18" s="145"/>
      <c r="E18" s="145"/>
      <c r="F18" s="145"/>
      <c r="G18" s="145"/>
      <c r="H18" s="145"/>
      <c r="I18" s="145"/>
      <c r="J18" s="145"/>
    </row>
    <row r="19" spans="1:10">
      <c r="A19" s="145"/>
      <c r="B19" s="146"/>
      <c r="C19" s="147"/>
      <c r="D19" s="145"/>
      <c r="E19" s="145"/>
      <c r="F19" s="145"/>
      <c r="G19" s="145"/>
      <c r="H19" s="145"/>
      <c r="I19" s="145"/>
      <c r="J19" s="145"/>
    </row>
    <row r="21" spans="1:10">
      <c r="A21" s="145"/>
      <c r="B21" s="146"/>
      <c r="C21" s="147"/>
      <c r="D21" s="145"/>
      <c r="E21" s="145"/>
      <c r="F21" s="145"/>
      <c r="G21" s="145"/>
      <c r="H21" s="145"/>
      <c r="I21" s="145"/>
      <c r="J21" s="145"/>
    </row>
    <row r="22" spans="1:10">
      <c r="A22" s="145"/>
      <c r="B22" s="146"/>
      <c r="C22" s="147"/>
      <c r="D22" s="145"/>
      <c r="E22" s="145"/>
      <c r="F22" s="145"/>
      <c r="G22" s="145"/>
      <c r="H22" s="145"/>
      <c r="I22" s="145"/>
      <c r="J22" s="145"/>
    </row>
    <row r="23" spans="1:10">
      <c r="A23" s="145"/>
      <c r="B23" s="146"/>
      <c r="C23" s="147"/>
      <c r="D23" s="145"/>
      <c r="E23" s="145"/>
      <c r="F23" s="145"/>
      <c r="G23" s="145"/>
      <c r="H23" s="145"/>
      <c r="I23" s="145"/>
      <c r="J23" s="145"/>
    </row>
    <row r="25" spans="1:10">
      <c r="A25" s="145"/>
      <c r="C25" s="147"/>
      <c r="D25" s="145"/>
      <c r="E25" s="145"/>
      <c r="F25" s="145"/>
      <c r="G25" s="145"/>
      <c r="H25" s="145"/>
      <c r="I25" s="145"/>
      <c r="J25" s="145"/>
    </row>
    <row r="26" spans="1:10">
      <c r="A26" s="145"/>
      <c r="C26" s="147"/>
      <c r="D26" s="145"/>
      <c r="E26" s="145"/>
      <c r="F26" s="145"/>
      <c r="G26" s="145"/>
      <c r="H26" s="145"/>
      <c r="I26" s="145"/>
      <c r="J26" s="145"/>
    </row>
    <row r="27" spans="1:10">
      <c r="A27" s="145"/>
      <c r="C27" s="147"/>
      <c r="D27" s="145"/>
      <c r="E27" s="145"/>
      <c r="F27" s="145"/>
      <c r="G27" s="145"/>
      <c r="H27" s="145"/>
      <c r="I27" s="145"/>
      <c r="J27" s="145"/>
    </row>
    <row r="28" spans="1:10">
      <c r="A28" s="415"/>
      <c r="B28" s="415"/>
      <c r="C28" s="415"/>
      <c r="D28" s="415"/>
      <c r="E28" s="415"/>
      <c r="F28" s="415"/>
      <c r="G28" s="415"/>
      <c r="H28" s="415"/>
      <c r="I28" s="415"/>
      <c r="J28" s="415"/>
    </row>
    <row r="29" spans="1:10">
      <c r="A29" s="145"/>
      <c r="B29" s="146"/>
      <c r="C29" s="147"/>
      <c r="D29" s="145"/>
      <c r="E29" s="145"/>
      <c r="F29" s="145"/>
      <c r="G29" s="145"/>
      <c r="H29" s="145"/>
      <c r="I29" s="145"/>
      <c r="J29" s="145"/>
    </row>
    <row r="31" spans="1:10">
      <c r="A31" s="145"/>
      <c r="B31" s="146"/>
      <c r="C31" s="147"/>
      <c r="D31" s="145"/>
      <c r="E31" s="145"/>
      <c r="F31" s="145"/>
      <c r="G31" s="145"/>
      <c r="H31" s="145"/>
      <c r="I31" s="145"/>
      <c r="J31" s="145"/>
    </row>
    <row r="32" spans="1:10">
      <c r="A32" s="145"/>
      <c r="B32" s="146"/>
      <c r="C32" s="147"/>
      <c r="D32" s="145"/>
      <c r="E32" s="145"/>
      <c r="F32" s="145"/>
      <c r="G32" s="145"/>
      <c r="H32" s="145"/>
      <c r="I32" s="145"/>
      <c r="J32" s="145"/>
    </row>
    <row r="33" spans="1:10">
      <c r="A33" s="416"/>
      <c r="B33" s="416"/>
      <c r="C33" s="416"/>
      <c r="D33" s="416"/>
      <c r="E33" s="416"/>
      <c r="F33" s="416"/>
      <c r="G33" s="416"/>
      <c r="H33" s="416"/>
      <c r="I33" s="416"/>
      <c r="J33" s="416"/>
    </row>
    <row r="34" spans="1:10">
      <c r="B34" s="140"/>
      <c r="C34" s="140"/>
      <c r="D34" s="140"/>
      <c r="E34" s="140"/>
      <c r="F34" s="140"/>
      <c r="G34" s="140"/>
      <c r="H34" s="140"/>
      <c r="I34" s="140"/>
      <c r="J34" s="140"/>
    </row>
    <row r="37" spans="1:10">
      <c r="B37" s="143"/>
      <c r="C37" s="144"/>
    </row>
    <row r="39" spans="1:10">
      <c r="B39" s="148"/>
      <c r="C39" s="148"/>
      <c r="D39" s="148"/>
      <c r="E39" s="148"/>
      <c r="F39" s="148"/>
      <c r="G39" s="148"/>
      <c r="H39" s="148"/>
      <c r="I39" s="148"/>
    </row>
    <row r="50" spans="1:10">
      <c r="A50" s="417"/>
      <c r="B50" s="417"/>
      <c r="C50" s="417"/>
      <c r="D50" s="417"/>
      <c r="E50" s="417"/>
      <c r="F50" s="417"/>
      <c r="G50" s="417"/>
      <c r="H50" s="417"/>
      <c r="I50" s="417"/>
      <c r="J50" s="41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zoomScaleNormal="100" zoomScaleSheetLayoutView="100" workbookViewId="0">
      <selection sqref="A1:J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3" width="9.28515625" style="76" bestFit="1" customWidth="1"/>
    <col min="14" max="14" width="9.85546875" style="76" bestFit="1" customWidth="1"/>
    <col min="15" max="16384" width="9.140625" style="76"/>
  </cols>
  <sheetData>
    <row r="1" spans="1:10" ht="18">
      <c r="A1" s="471" t="s">
        <v>282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ht="6" customHeight="1">
      <c r="A2" s="252"/>
      <c r="B2" s="253"/>
      <c r="C2" s="253"/>
      <c r="D2" s="253"/>
      <c r="E2" s="253"/>
      <c r="F2" s="253"/>
      <c r="G2" s="253"/>
      <c r="H2" s="253"/>
      <c r="I2" s="253"/>
      <c r="J2" s="253"/>
    </row>
    <row r="3" spans="1:10" ht="15.75" customHeight="1">
      <c r="A3" s="292">
        <f>'3.1'!A4</f>
        <v>2025</v>
      </c>
      <c r="B3" s="473" t="str">
        <f>'3.1'!D5</f>
        <v>Červenec</v>
      </c>
      <c r="C3" s="472"/>
      <c r="D3" s="474"/>
      <c r="E3" s="472" t="str">
        <f>'3.1'!E5</f>
        <v>Srpen</v>
      </c>
      <c r="F3" s="472"/>
      <c r="G3" s="472"/>
      <c r="H3" s="473" t="str">
        <f>'3.1'!F5</f>
        <v>Září</v>
      </c>
      <c r="I3" s="472"/>
      <c r="J3" s="472"/>
    </row>
    <row r="4" spans="1:10" ht="28.5" customHeight="1">
      <c r="A4" s="272"/>
      <c r="B4" s="475" t="s">
        <v>59</v>
      </c>
      <c r="C4" s="476"/>
      <c r="D4" s="221" t="s">
        <v>179</v>
      </c>
      <c r="E4" s="476" t="s">
        <v>59</v>
      </c>
      <c r="F4" s="476"/>
      <c r="G4" s="218" t="s">
        <v>179</v>
      </c>
      <c r="H4" s="475" t="s">
        <v>59</v>
      </c>
      <c r="I4" s="476"/>
      <c r="J4" s="218" t="s">
        <v>179</v>
      </c>
    </row>
    <row r="5" spans="1:10" ht="15" customHeight="1">
      <c r="A5" s="260" t="s">
        <v>172</v>
      </c>
      <c r="B5" s="220" t="s">
        <v>247</v>
      </c>
      <c r="C5" s="218" t="s">
        <v>248</v>
      </c>
      <c r="D5" s="221" t="s">
        <v>218</v>
      </c>
      <c r="E5" s="218" t="s">
        <v>247</v>
      </c>
      <c r="F5" s="218" t="s">
        <v>248</v>
      </c>
      <c r="G5" s="218" t="s">
        <v>218</v>
      </c>
      <c r="H5" s="220" t="s">
        <v>247</v>
      </c>
      <c r="I5" s="218" t="s">
        <v>248</v>
      </c>
      <c r="J5" s="218" t="s">
        <v>218</v>
      </c>
    </row>
    <row r="6" spans="1:10" ht="12.6" customHeight="1">
      <c r="A6" s="153">
        <v>1</v>
      </c>
      <c r="B6" s="154">
        <v>11611.907014934764</v>
      </c>
      <c r="C6" s="155">
        <v>127592.56307916142</v>
      </c>
      <c r="D6" s="266">
        <v>21.3</v>
      </c>
      <c r="E6" s="155">
        <v>8027.0250197092</v>
      </c>
      <c r="F6" s="155">
        <v>88450.445895257959</v>
      </c>
      <c r="G6" s="254">
        <v>16.3</v>
      </c>
      <c r="H6" s="154">
        <v>9550.0310488897903</v>
      </c>
      <c r="I6" s="155">
        <v>105591.74892276694</v>
      </c>
      <c r="J6" s="254">
        <v>18.600000000000001</v>
      </c>
    </row>
    <row r="7" spans="1:10" ht="12.6" customHeight="1">
      <c r="A7" s="153">
        <v>2</v>
      </c>
      <c r="B7" s="154">
        <v>10719.475449528683</v>
      </c>
      <c r="C7" s="155">
        <v>117776.69807916142</v>
      </c>
      <c r="D7" s="266">
        <v>24.2</v>
      </c>
      <c r="E7" s="155">
        <v>6826.7428214690071</v>
      </c>
      <c r="F7" s="155">
        <v>75224.751895257956</v>
      </c>
      <c r="G7" s="254">
        <v>16.600000000000001</v>
      </c>
      <c r="H7" s="154">
        <v>9713.9269737917111</v>
      </c>
      <c r="I7" s="155">
        <v>107404.96392276692</v>
      </c>
      <c r="J7" s="254">
        <v>16.5</v>
      </c>
    </row>
    <row r="8" spans="1:10" ht="12.6" customHeight="1">
      <c r="A8" s="153">
        <v>3</v>
      </c>
      <c r="B8" s="154">
        <v>10918.87448928188</v>
      </c>
      <c r="C8" s="155">
        <v>119970.15207916142</v>
      </c>
      <c r="D8" s="266">
        <v>22</v>
      </c>
      <c r="E8" s="155">
        <v>6938.3388033395331</v>
      </c>
      <c r="F8" s="155">
        <v>76455.674895257951</v>
      </c>
      <c r="G8" s="254">
        <v>15.4</v>
      </c>
      <c r="H8" s="154">
        <v>9572.7568814167207</v>
      </c>
      <c r="I8" s="155">
        <v>105844.05192276693</v>
      </c>
      <c r="J8" s="254">
        <v>16.899999999999999</v>
      </c>
    </row>
    <row r="9" spans="1:10" ht="12.6" customHeight="1">
      <c r="A9" s="153">
        <v>4</v>
      </c>
      <c r="B9" s="154">
        <v>10513.86690810172</v>
      </c>
      <c r="C9" s="155">
        <v>115524.95907916142</v>
      </c>
      <c r="D9" s="266">
        <v>18.2</v>
      </c>
      <c r="E9" s="155">
        <v>8474.7146643944507</v>
      </c>
      <c r="F9" s="155">
        <v>93383.99289525795</v>
      </c>
      <c r="G9" s="254">
        <v>14.6</v>
      </c>
      <c r="H9" s="154">
        <v>9515.284290798234</v>
      </c>
      <c r="I9" s="155">
        <v>105209.34692276694</v>
      </c>
      <c r="J9" s="254">
        <v>19.3</v>
      </c>
    </row>
    <row r="10" spans="1:10" ht="12.6" customHeight="1">
      <c r="A10" s="153">
        <v>5</v>
      </c>
      <c r="B10" s="154">
        <v>8361.6552564600715</v>
      </c>
      <c r="C10" s="155">
        <v>91868.839079161422</v>
      </c>
      <c r="D10" s="266">
        <v>21</v>
      </c>
      <c r="E10" s="155">
        <v>8540.0888913823346</v>
      </c>
      <c r="F10" s="155">
        <v>94103.571895257948</v>
      </c>
      <c r="G10" s="254">
        <v>17.2</v>
      </c>
      <c r="H10" s="154">
        <v>8822.3721402746778</v>
      </c>
      <c r="I10" s="155">
        <v>97548.226922766946</v>
      </c>
      <c r="J10" s="254">
        <v>16.8</v>
      </c>
    </row>
    <row r="11" spans="1:10" ht="12.6" customHeight="1">
      <c r="A11" s="153">
        <v>6</v>
      </c>
      <c r="B11" s="154">
        <v>9124.5877984175659</v>
      </c>
      <c r="C11" s="155">
        <v>100252.16707916142</v>
      </c>
      <c r="D11" s="266">
        <v>21.5</v>
      </c>
      <c r="E11" s="155">
        <v>9770.8057488265458</v>
      </c>
      <c r="F11" s="155">
        <v>107703.30989525795</v>
      </c>
      <c r="G11" s="254">
        <v>14.7</v>
      </c>
      <c r="H11" s="154">
        <v>7323.1253244423915</v>
      </c>
      <c r="I11" s="155">
        <v>80973.585922766943</v>
      </c>
      <c r="J11" s="254">
        <v>14</v>
      </c>
    </row>
    <row r="12" spans="1:10" ht="12.6" customHeight="1">
      <c r="A12" s="153">
        <v>7</v>
      </c>
      <c r="B12" s="154">
        <v>11188.96826018402</v>
      </c>
      <c r="C12" s="155">
        <v>122933.71507916143</v>
      </c>
      <c r="D12" s="266">
        <v>16.8</v>
      </c>
      <c r="E12" s="155">
        <v>9323.764342387607</v>
      </c>
      <c r="F12" s="155">
        <v>102769.61289525796</v>
      </c>
      <c r="G12" s="254">
        <v>17.3</v>
      </c>
      <c r="H12" s="154">
        <v>7978.8518331488394</v>
      </c>
      <c r="I12" s="155">
        <v>88222.971922766941</v>
      </c>
      <c r="J12" s="254">
        <v>14</v>
      </c>
    </row>
    <row r="13" spans="1:10" ht="12.6" customHeight="1">
      <c r="A13" s="153">
        <v>8</v>
      </c>
      <c r="B13" s="154">
        <v>10557.543876335389</v>
      </c>
      <c r="C13" s="155">
        <v>115985.49507916142</v>
      </c>
      <c r="D13" s="266">
        <v>13.5</v>
      </c>
      <c r="E13" s="155">
        <v>9609.9191208202628</v>
      </c>
      <c r="F13" s="155">
        <v>105956.82089525796</v>
      </c>
      <c r="G13" s="254">
        <v>20.8</v>
      </c>
      <c r="H13" s="154">
        <v>10054.603822115514</v>
      </c>
      <c r="I13" s="155">
        <v>111172.25492276694</v>
      </c>
      <c r="J13" s="254">
        <v>14.6</v>
      </c>
    </row>
    <row r="14" spans="1:10" ht="12.6" customHeight="1">
      <c r="A14" s="153">
        <v>9</v>
      </c>
      <c r="B14" s="154">
        <v>10639.213472577834</v>
      </c>
      <c r="C14" s="155">
        <v>116881.68607916143</v>
      </c>
      <c r="D14" s="266">
        <v>15</v>
      </c>
      <c r="E14" s="155">
        <v>7452.3549723698397</v>
      </c>
      <c r="F14" s="155">
        <v>82152.883895257954</v>
      </c>
      <c r="G14" s="254">
        <v>21.8</v>
      </c>
      <c r="H14" s="154">
        <v>10122.690654540347</v>
      </c>
      <c r="I14" s="155">
        <v>111924.43292276695</v>
      </c>
      <c r="J14" s="254">
        <v>16.100000000000001</v>
      </c>
    </row>
    <row r="15" spans="1:10" ht="12.6" customHeight="1">
      <c r="A15" s="153">
        <v>10</v>
      </c>
      <c r="B15" s="154">
        <v>10554.801199454007</v>
      </c>
      <c r="C15" s="155">
        <v>115955.05207916143</v>
      </c>
      <c r="D15" s="266">
        <v>15.8</v>
      </c>
      <c r="E15" s="155">
        <v>7845.5267955436084</v>
      </c>
      <c r="F15" s="155">
        <v>86485.11289525796</v>
      </c>
      <c r="G15" s="254">
        <v>20.399999999999999</v>
      </c>
      <c r="H15" s="154">
        <v>10178.379997087024</v>
      </c>
      <c r="I15" s="155">
        <v>112540.96692276694</v>
      </c>
      <c r="J15" s="254">
        <v>16.100000000000001</v>
      </c>
    </row>
    <row r="16" spans="1:10" ht="12.6" customHeight="1">
      <c r="A16" s="153">
        <v>11</v>
      </c>
      <c r="B16" s="154">
        <v>9706.3900003587023</v>
      </c>
      <c r="C16" s="155">
        <v>106636.75807916143</v>
      </c>
      <c r="D16" s="266">
        <v>15.9</v>
      </c>
      <c r="E16" s="155">
        <v>10136.059601431514</v>
      </c>
      <c r="F16" s="155">
        <v>111745.60089525796</v>
      </c>
      <c r="G16" s="254">
        <v>17.7</v>
      </c>
      <c r="H16" s="154">
        <v>9437.8422957503335</v>
      </c>
      <c r="I16" s="155">
        <v>104353.43392276693</v>
      </c>
      <c r="J16" s="254">
        <v>15.6</v>
      </c>
    </row>
    <row r="17" spans="1:10" ht="12.6" customHeight="1">
      <c r="A17" s="153">
        <v>12</v>
      </c>
      <c r="B17" s="154">
        <v>8892.2856955086227</v>
      </c>
      <c r="C17" s="155">
        <v>97707.448079161419</v>
      </c>
      <c r="D17" s="266">
        <v>15.3</v>
      </c>
      <c r="E17" s="155">
        <v>10146.800657672795</v>
      </c>
      <c r="F17" s="155">
        <v>111860.43689525797</v>
      </c>
      <c r="G17" s="254">
        <v>19.7</v>
      </c>
      <c r="H17" s="154">
        <v>9239.9415627465951</v>
      </c>
      <c r="I17" s="155">
        <v>102166.20292276696</v>
      </c>
      <c r="J17" s="254">
        <v>13.9</v>
      </c>
    </row>
    <row r="18" spans="1:10" ht="12.6" customHeight="1">
      <c r="A18" s="153">
        <v>13</v>
      </c>
      <c r="B18" s="154">
        <v>9046.2201766153994</v>
      </c>
      <c r="C18" s="155">
        <v>99399.08607916141</v>
      </c>
      <c r="D18" s="267">
        <v>18.8</v>
      </c>
      <c r="E18" s="155">
        <v>10443.54052378965</v>
      </c>
      <c r="F18" s="155">
        <v>115131.67489525798</v>
      </c>
      <c r="G18" s="255">
        <v>22.8</v>
      </c>
      <c r="H18" s="154">
        <v>7520.8990293263341</v>
      </c>
      <c r="I18" s="155">
        <v>83160.741922766931</v>
      </c>
      <c r="J18" s="255">
        <v>14.3</v>
      </c>
    </row>
    <row r="19" spans="1:10" ht="12.6" customHeight="1">
      <c r="A19" s="153">
        <v>14</v>
      </c>
      <c r="B19" s="154">
        <v>9683.6872961891404</v>
      </c>
      <c r="C19" s="155">
        <v>106394.20207916143</v>
      </c>
      <c r="D19" s="267">
        <v>21.1</v>
      </c>
      <c r="E19" s="155">
        <v>9701.080302608585</v>
      </c>
      <c r="F19" s="155">
        <v>106929.93689525795</v>
      </c>
      <c r="G19" s="255">
        <v>24.3</v>
      </c>
      <c r="H19" s="154">
        <v>8186.820617577645</v>
      </c>
      <c r="I19" s="155">
        <v>90523.993922766938</v>
      </c>
      <c r="J19" s="255">
        <v>12.4</v>
      </c>
    </row>
    <row r="20" spans="1:10" ht="12.6" customHeight="1">
      <c r="A20" s="153">
        <v>15</v>
      </c>
      <c r="B20" s="154">
        <v>9504.9276100716688</v>
      </c>
      <c r="C20" s="155">
        <v>104426.38507916142</v>
      </c>
      <c r="D20" s="267">
        <v>18.8</v>
      </c>
      <c r="E20" s="155">
        <v>8673.3439022909079</v>
      </c>
      <c r="F20" s="155">
        <v>95594.090895257948</v>
      </c>
      <c r="G20" s="255">
        <v>24.7</v>
      </c>
      <c r="H20" s="154">
        <v>9729.8403980532312</v>
      </c>
      <c r="I20" s="155">
        <v>107582.03292276694</v>
      </c>
      <c r="J20" s="255">
        <v>16.3</v>
      </c>
    </row>
    <row r="21" spans="1:10" ht="12.6" customHeight="1">
      <c r="A21" s="153">
        <v>16</v>
      </c>
      <c r="B21" s="154">
        <v>10022.509795791628</v>
      </c>
      <c r="C21" s="155">
        <v>110116.54707916142</v>
      </c>
      <c r="D21" s="267">
        <v>15.8</v>
      </c>
      <c r="E21" s="155">
        <v>6930.7974490808429</v>
      </c>
      <c r="F21" s="155">
        <v>76371.588895257941</v>
      </c>
      <c r="G21" s="255">
        <v>20.8</v>
      </c>
      <c r="H21" s="154">
        <v>10265.184265731075</v>
      </c>
      <c r="I21" s="155">
        <v>113501.66392276695</v>
      </c>
      <c r="J21" s="255">
        <v>13.2</v>
      </c>
    </row>
    <row r="22" spans="1:10" ht="12.6" customHeight="1">
      <c r="A22" s="153">
        <v>17</v>
      </c>
      <c r="B22" s="154">
        <v>10427.199794001355</v>
      </c>
      <c r="C22" s="155">
        <v>114567.52107916139</v>
      </c>
      <c r="D22" s="267">
        <v>15.6</v>
      </c>
      <c r="E22" s="155">
        <v>7484.3751806455839</v>
      </c>
      <c r="F22" s="155">
        <v>82471.729895257959</v>
      </c>
      <c r="G22" s="255">
        <v>16.899999999999999</v>
      </c>
      <c r="H22" s="154">
        <v>10962.886049698696</v>
      </c>
      <c r="I22" s="155">
        <v>121216.62092276696</v>
      </c>
      <c r="J22" s="255">
        <v>11.8</v>
      </c>
    </row>
    <row r="23" spans="1:10" ht="12.6" customHeight="1">
      <c r="A23" s="153">
        <v>18</v>
      </c>
      <c r="B23" s="154">
        <v>9787.2314141965544</v>
      </c>
      <c r="C23" s="256">
        <v>107536.2360791614</v>
      </c>
      <c r="D23" s="268">
        <v>16.8</v>
      </c>
      <c r="E23" s="155">
        <v>9014.6590299427608</v>
      </c>
      <c r="F23" s="256">
        <v>99332.274895257957</v>
      </c>
      <c r="G23" s="257">
        <v>16.3</v>
      </c>
      <c r="H23" s="154">
        <v>10994.46534461229</v>
      </c>
      <c r="I23" s="256">
        <v>121563.84092276696</v>
      </c>
      <c r="J23" s="257">
        <v>15.3</v>
      </c>
    </row>
    <row r="24" spans="1:10" ht="12.6" customHeight="1">
      <c r="A24" s="153">
        <v>19</v>
      </c>
      <c r="B24" s="154">
        <v>6606.750909312228</v>
      </c>
      <c r="C24" s="256">
        <v>72575.414079161405</v>
      </c>
      <c r="D24" s="268">
        <v>19.399999999999999</v>
      </c>
      <c r="E24" s="155">
        <v>9379.3728806346626</v>
      </c>
      <c r="F24" s="256">
        <v>103350.84389525796</v>
      </c>
      <c r="G24" s="257">
        <v>17.3</v>
      </c>
      <c r="H24" s="154">
        <v>9993.7050380801884</v>
      </c>
      <c r="I24" s="256">
        <v>110499.22092276694</v>
      </c>
      <c r="J24" s="257">
        <v>17</v>
      </c>
    </row>
    <row r="25" spans="1:10" ht="12.6" customHeight="1">
      <c r="A25" s="153">
        <v>20</v>
      </c>
      <c r="B25" s="154">
        <v>7568.1194322580359</v>
      </c>
      <c r="C25" s="155">
        <v>83146.595079161416</v>
      </c>
      <c r="D25" s="267">
        <v>22.5</v>
      </c>
      <c r="E25" s="155">
        <v>9156.901482907524</v>
      </c>
      <c r="F25" s="155">
        <v>100899.21689525797</v>
      </c>
      <c r="G25" s="255">
        <v>19.899999999999999</v>
      </c>
      <c r="H25" s="154">
        <v>7843.0446797203076</v>
      </c>
      <c r="I25" s="155">
        <v>86721.912922766933</v>
      </c>
      <c r="J25" s="255">
        <v>19.3</v>
      </c>
    </row>
    <row r="26" spans="1:10" ht="12.6" customHeight="1">
      <c r="A26" s="153">
        <v>21</v>
      </c>
      <c r="B26" s="154">
        <v>9559.9451669918399</v>
      </c>
      <c r="C26" s="155">
        <v>105033.83107916141</v>
      </c>
      <c r="D26" s="267">
        <v>19.5</v>
      </c>
      <c r="E26" s="155">
        <v>8929.8707122865108</v>
      </c>
      <c r="F26" s="155">
        <v>98397.833895257965</v>
      </c>
      <c r="G26" s="255">
        <v>18.2</v>
      </c>
      <c r="H26" s="154">
        <v>8413.3269407218268</v>
      </c>
      <c r="I26" s="155">
        <v>93026.382922766963</v>
      </c>
      <c r="J26" s="255">
        <v>19.8</v>
      </c>
    </row>
    <row r="27" spans="1:10" ht="12.6" customHeight="1">
      <c r="A27" s="153">
        <v>22</v>
      </c>
      <c r="B27" s="154">
        <v>9733.9118807657269</v>
      </c>
      <c r="C27" s="155">
        <v>106942.76707916142</v>
      </c>
      <c r="D27" s="267">
        <v>17.899999999999999</v>
      </c>
      <c r="E27" s="155">
        <v>8521.0883361186079</v>
      </c>
      <c r="F27" s="155">
        <v>93892.745895257976</v>
      </c>
      <c r="G27" s="255">
        <v>14.3</v>
      </c>
      <c r="H27" s="154">
        <v>11037.721999288005</v>
      </c>
      <c r="I27" s="155">
        <v>122043.46692276694</v>
      </c>
      <c r="J27" s="255">
        <v>12.7</v>
      </c>
    </row>
    <row r="28" spans="1:10" ht="12.6" customHeight="1">
      <c r="A28" s="153">
        <v>23</v>
      </c>
      <c r="B28" s="264">
        <v>9595.1066098541651</v>
      </c>
      <c r="C28" s="258">
        <v>105418.86307916141</v>
      </c>
      <c r="D28" s="266">
        <v>18.899999999999999</v>
      </c>
      <c r="E28" s="258">
        <v>7419.2180376000633</v>
      </c>
      <c r="F28" s="258">
        <v>81752.293895257972</v>
      </c>
      <c r="G28" s="254">
        <v>12</v>
      </c>
      <c r="H28" s="264">
        <v>12460.547613398865</v>
      </c>
      <c r="I28" s="258">
        <v>137776.58392276691</v>
      </c>
      <c r="J28" s="254">
        <v>10.7</v>
      </c>
    </row>
    <row r="29" spans="1:10" ht="12.6" customHeight="1">
      <c r="A29" s="153">
        <v>24</v>
      </c>
      <c r="B29" s="265">
        <v>10491.346683716234</v>
      </c>
      <c r="C29" s="259">
        <v>115276.35807916141</v>
      </c>
      <c r="D29" s="266">
        <v>18.100000000000001</v>
      </c>
      <c r="E29" s="259">
        <v>8051.9266786488779</v>
      </c>
      <c r="F29" s="259">
        <v>88723.600895257958</v>
      </c>
      <c r="G29" s="254">
        <v>11.9</v>
      </c>
      <c r="H29" s="265">
        <v>13418.243624912571</v>
      </c>
      <c r="I29" s="259">
        <v>148367.01892276693</v>
      </c>
      <c r="J29" s="254">
        <v>10.6</v>
      </c>
    </row>
    <row r="30" spans="1:10" ht="12.6" customHeight="1">
      <c r="A30" s="153">
        <v>25</v>
      </c>
      <c r="B30" s="154">
        <v>9793.7527119362876</v>
      </c>
      <c r="C30" s="155">
        <v>107612.6480791614</v>
      </c>
      <c r="D30" s="267">
        <v>19.2</v>
      </c>
      <c r="E30" s="155">
        <v>9441.5171810187021</v>
      </c>
      <c r="F30" s="155">
        <v>104035.48989525795</v>
      </c>
      <c r="G30" s="255">
        <v>13.8</v>
      </c>
      <c r="H30" s="154">
        <v>15049.444418170451</v>
      </c>
      <c r="I30" s="155">
        <v>166406.30692276696</v>
      </c>
      <c r="J30" s="255">
        <v>8.6999999999999993</v>
      </c>
    </row>
    <row r="31" spans="1:10" ht="12.6" customHeight="1">
      <c r="A31" s="153">
        <v>26</v>
      </c>
      <c r="B31" s="154">
        <v>7898.1436057626997</v>
      </c>
      <c r="C31" s="155">
        <v>86779.833079161413</v>
      </c>
      <c r="D31" s="267">
        <v>18.600000000000001</v>
      </c>
      <c r="E31" s="155">
        <v>9555.1338563075224</v>
      </c>
      <c r="F31" s="155">
        <v>105288.38189525796</v>
      </c>
      <c r="G31" s="255">
        <v>15.8</v>
      </c>
      <c r="H31" s="154">
        <v>14740.688884647156</v>
      </c>
      <c r="I31" s="155">
        <v>162991.55292276692</v>
      </c>
      <c r="J31" s="255">
        <v>11</v>
      </c>
    </row>
    <row r="32" spans="1:10" ht="12.6" customHeight="1">
      <c r="A32" s="153">
        <v>27</v>
      </c>
      <c r="B32" s="154">
        <v>7152.9709085267605</v>
      </c>
      <c r="C32" s="155">
        <v>78580.015079161414</v>
      </c>
      <c r="D32" s="267">
        <v>17.600000000000001</v>
      </c>
      <c r="E32" s="155">
        <v>9720.0435558773388</v>
      </c>
      <c r="F32" s="155">
        <v>107105.07689525797</v>
      </c>
      <c r="G32" s="255">
        <v>18.399999999999999</v>
      </c>
      <c r="H32" s="154">
        <v>11812.876126650057</v>
      </c>
      <c r="I32" s="155">
        <v>130620.30592276694</v>
      </c>
      <c r="J32" s="255">
        <v>12.5</v>
      </c>
    </row>
    <row r="33" spans="1:15" ht="12.6" customHeight="1">
      <c r="A33" s="153">
        <v>28</v>
      </c>
      <c r="B33" s="154">
        <v>8521.7535194436296</v>
      </c>
      <c r="C33" s="155">
        <v>93617.924079161414</v>
      </c>
      <c r="D33" s="267">
        <v>16.7</v>
      </c>
      <c r="E33" s="155">
        <v>9354.0310147534638</v>
      </c>
      <c r="F33" s="155">
        <v>103071.14889525795</v>
      </c>
      <c r="G33" s="255">
        <v>21.6</v>
      </c>
      <c r="H33" s="154">
        <v>12011.75158196019</v>
      </c>
      <c r="I33" s="155">
        <v>132817.53392276695</v>
      </c>
      <c r="J33" s="255">
        <v>11.1</v>
      </c>
    </row>
    <row r="34" spans="1:15" ht="12.6" customHeight="1">
      <c r="A34" s="153">
        <v>29</v>
      </c>
      <c r="B34" s="154">
        <v>8926.2611466067628</v>
      </c>
      <c r="C34" s="155">
        <v>98060.70207916142</v>
      </c>
      <c r="D34" s="267">
        <v>15.6</v>
      </c>
      <c r="E34" s="155">
        <v>8763.2389665178398</v>
      </c>
      <c r="F34" s="155">
        <v>96561.395895257956</v>
      </c>
      <c r="G34" s="255">
        <v>19.7</v>
      </c>
      <c r="H34" s="154">
        <v>16344.790211791802</v>
      </c>
      <c r="I34" s="155">
        <v>180727.86892276697</v>
      </c>
      <c r="J34" s="255">
        <v>7.6</v>
      </c>
    </row>
    <row r="35" spans="1:15" ht="12.6" customHeight="1">
      <c r="A35" s="153">
        <v>30</v>
      </c>
      <c r="B35" s="154">
        <v>8885.6897881432633</v>
      </c>
      <c r="C35" s="155">
        <v>97615.136079161413</v>
      </c>
      <c r="D35" s="267">
        <v>15.4</v>
      </c>
      <c r="E35" s="155">
        <v>7127.6273350019883</v>
      </c>
      <c r="F35" s="155">
        <v>78539.091895257967</v>
      </c>
      <c r="G35" s="255">
        <v>17.3</v>
      </c>
      <c r="H35" s="154">
        <v>17969.291971732106</v>
      </c>
      <c r="I35" s="155">
        <v>198689.82492276694</v>
      </c>
      <c r="J35" s="255">
        <v>6.3</v>
      </c>
    </row>
    <row r="36" spans="1:15" ht="12.6" customHeight="1">
      <c r="A36" s="158">
        <v>31</v>
      </c>
      <c r="B36" s="159">
        <v>8899.9498171113919</v>
      </c>
      <c r="C36" s="160">
        <v>97772.606079161415</v>
      </c>
      <c r="D36" s="269">
        <v>16.2</v>
      </c>
      <c r="E36" s="160">
        <v>7657.2474230098842</v>
      </c>
      <c r="F36" s="160">
        <v>84373.870895257962</v>
      </c>
      <c r="G36" s="261">
        <v>16.399999999999999</v>
      </c>
      <c r="H36" s="159"/>
      <c r="I36" s="160"/>
      <c r="J36" s="261"/>
    </row>
    <row r="37" spans="1:15" ht="12.6" customHeight="1">
      <c r="A37" s="262" t="s">
        <v>0</v>
      </c>
      <c r="B37" s="168">
        <f>SUM(B6:B36)</f>
        <v>294895.04768843798</v>
      </c>
      <c r="C37" s="169">
        <f>SUM(C6:C36)</f>
        <v>3239958.2034540051</v>
      </c>
      <c r="D37" s="270">
        <f>AVERAGE(D6:D36)</f>
        <v>18.161290322580648</v>
      </c>
      <c r="E37" s="169">
        <f>SUM(E6:E36)</f>
        <v>268417.15528838808</v>
      </c>
      <c r="F37" s="169">
        <f>SUM(F6:F36)</f>
        <v>2958114.5037529981</v>
      </c>
      <c r="G37" s="263">
        <f>AVERAGE(G6:G36)</f>
        <v>17.899999999999999</v>
      </c>
      <c r="H37" s="168">
        <f>SUM(H6:H36)</f>
        <v>320265.33562107501</v>
      </c>
      <c r="I37" s="169">
        <f>SUM(I6:I36)</f>
        <v>3541189.0626830091</v>
      </c>
      <c r="J37" s="263">
        <f>AVERAGE(J6:J36)</f>
        <v>14.100000000000001</v>
      </c>
      <c r="M37" s="41"/>
      <c r="N37" s="41"/>
      <c r="O37" s="77"/>
    </row>
    <row r="38" spans="1:15" ht="12.95" customHeight="1">
      <c r="A38" s="153" t="s">
        <v>173</v>
      </c>
      <c r="B38" s="154">
        <f>MAX(B6:B36)</f>
        <v>11611.907014934764</v>
      </c>
      <c r="C38" s="155">
        <f>MAX(C6:C36)</f>
        <v>127592.56307916142</v>
      </c>
      <c r="D38" s="267">
        <f>VLOOKUP(B38,$B$6:$D$36,3,FALSE)</f>
        <v>21.3</v>
      </c>
      <c r="E38" s="155">
        <f>MAX(E6:E36)</f>
        <v>10443.54052378965</v>
      </c>
      <c r="F38" s="155">
        <f>MAX(F6:F36)</f>
        <v>115131.67489525798</v>
      </c>
      <c r="G38" s="255">
        <f>VLOOKUP(E38,$E$6:$G$36,3,FALSE)</f>
        <v>22.8</v>
      </c>
      <c r="H38" s="154">
        <f>MAX(H6:H36)</f>
        <v>17969.291971732106</v>
      </c>
      <c r="I38" s="155">
        <f>MAX(I6:I36)</f>
        <v>198689.82492276694</v>
      </c>
      <c r="J38" s="255">
        <f>VLOOKUP(H38,$H$6:$J$36,3,FALSE)</f>
        <v>6.3</v>
      </c>
    </row>
    <row r="39" spans="1:15" ht="12.95" customHeight="1">
      <c r="A39" s="153" t="s">
        <v>174</v>
      </c>
      <c r="B39" s="154">
        <f>MIN(B6:B36)</f>
        <v>6606.750909312228</v>
      </c>
      <c r="C39" s="155">
        <f>MIN(C6:C36)</f>
        <v>72575.414079161405</v>
      </c>
      <c r="D39" s="267">
        <f>VLOOKUP(B39,$B$6:$D$36,3,FALSE)</f>
        <v>19.399999999999999</v>
      </c>
      <c r="E39" s="155">
        <f>MIN(E6:E36)</f>
        <v>6826.7428214690071</v>
      </c>
      <c r="F39" s="155">
        <f>MIN(F6:F36)</f>
        <v>75224.751895257956</v>
      </c>
      <c r="G39" s="255">
        <f>VLOOKUP(E39,$E$6:$G$36,3,FALSE)</f>
        <v>16.600000000000001</v>
      </c>
      <c r="H39" s="154">
        <f>MIN(H6:H36)</f>
        <v>7323.1253244423915</v>
      </c>
      <c r="I39" s="155">
        <f>MIN(I6:I36)</f>
        <v>80973.585922766943</v>
      </c>
      <c r="J39" s="255">
        <f>VLOOKUP(H39,$H$6:$J$36,3,FALSE)</f>
        <v>14</v>
      </c>
    </row>
    <row r="40" spans="1:15" ht="12.95" customHeight="1">
      <c r="A40" s="158" t="s">
        <v>175</v>
      </c>
      <c r="B40" s="159">
        <f t="shared" ref="B40:J40" si="0">AVERAGE(B6:B36)</f>
        <v>9512.7434738205793</v>
      </c>
      <c r="C40" s="160">
        <f t="shared" si="0"/>
        <v>104514.7807565808</v>
      </c>
      <c r="D40" s="269">
        <f t="shared" si="0"/>
        <v>18.161290322580648</v>
      </c>
      <c r="E40" s="160">
        <f t="shared" si="0"/>
        <v>8658.6179125286471</v>
      </c>
      <c r="F40" s="160">
        <f>AVERAGE(F6:F36)</f>
        <v>95423.048508161228</v>
      </c>
      <c r="G40" s="261">
        <f>AVERAGE(G6:G36)</f>
        <v>17.899999999999999</v>
      </c>
      <c r="H40" s="159">
        <f>AVERAGE(H6:H36)</f>
        <v>10675.511187369168</v>
      </c>
      <c r="I40" s="160">
        <f t="shared" si="0"/>
        <v>118039.63542276697</v>
      </c>
      <c r="J40" s="261">
        <f t="shared" si="0"/>
        <v>14.100000000000001</v>
      </c>
    </row>
    <row r="41" spans="1:15" ht="15" customHeight="1">
      <c r="A41" s="43"/>
      <c r="B41" s="468" t="str">
        <f>B3</f>
        <v>Červenec</v>
      </c>
      <c r="C41" s="469"/>
      <c r="D41" s="470"/>
      <c r="E41" s="468" t="str">
        <f>E3</f>
        <v>Srpen</v>
      </c>
      <c r="F41" s="469"/>
      <c r="G41" s="470"/>
      <c r="H41" s="468" t="str">
        <f>H3</f>
        <v>Září</v>
      </c>
      <c r="I41" s="469"/>
      <c r="J41" s="469"/>
    </row>
    <row r="42" spans="1:15" ht="15" customHeight="1">
      <c r="A42" s="43"/>
      <c r="B42" s="291" t="s">
        <v>255</v>
      </c>
      <c r="C42" s="79"/>
      <c r="D42" s="289"/>
      <c r="E42" s="291" t="s">
        <v>255</v>
      </c>
      <c r="F42" s="79"/>
      <c r="G42" s="79"/>
      <c r="H42" s="291" t="s">
        <v>255</v>
      </c>
      <c r="I42" s="79"/>
      <c r="J42" s="79"/>
    </row>
    <row r="43" spans="1:15" ht="21" customHeight="1">
      <c r="A43" s="43"/>
      <c r="B43" s="286"/>
      <c r="C43" s="79"/>
      <c r="D43" s="289"/>
      <c r="E43" s="79"/>
      <c r="F43" s="79"/>
      <c r="G43" s="79"/>
      <c r="H43" s="286"/>
      <c r="I43" s="79"/>
      <c r="J43" s="79"/>
    </row>
    <row r="44" spans="1:15" ht="21" customHeight="1">
      <c r="B44" s="286"/>
      <c r="C44" s="79"/>
      <c r="D44" s="289"/>
      <c r="E44" s="79"/>
      <c r="F44" s="79"/>
      <c r="G44" s="79"/>
      <c r="H44" s="286"/>
      <c r="I44" s="79"/>
      <c r="J44" s="79"/>
    </row>
    <row r="45" spans="1:15" ht="21" customHeight="1">
      <c r="B45" s="287" t="s">
        <v>253</v>
      </c>
      <c r="C45" s="81">
        <f>B38</f>
        <v>11611.907014934764</v>
      </c>
      <c r="D45" s="289"/>
      <c r="E45" s="80" t="s">
        <v>253</v>
      </c>
      <c r="F45" s="81">
        <f>E38</f>
        <v>10443.54052378965</v>
      </c>
      <c r="G45" s="79"/>
      <c r="H45" s="287" t="s">
        <v>253</v>
      </c>
      <c r="I45" s="81">
        <f>H38</f>
        <v>17969.291971732106</v>
      </c>
      <c r="J45" s="79"/>
    </row>
    <row r="46" spans="1:15" ht="21" customHeight="1">
      <c r="B46" s="288" t="s">
        <v>254</v>
      </c>
      <c r="C46" s="81">
        <f t="shared" ref="C46:C47" si="1">B39</f>
        <v>6606.750909312228</v>
      </c>
      <c r="D46" s="289"/>
      <c r="E46" s="82" t="s">
        <v>254</v>
      </c>
      <c r="F46" s="81">
        <f t="shared" ref="F46:F47" si="2">E39</f>
        <v>6826.7428214690071</v>
      </c>
      <c r="G46" s="79"/>
      <c r="H46" s="288" t="s">
        <v>254</v>
      </c>
      <c r="I46" s="81">
        <f t="shared" ref="I46:I47" si="3">H39</f>
        <v>7323.1253244423915</v>
      </c>
      <c r="J46" s="79"/>
    </row>
    <row r="47" spans="1:15" ht="21" customHeight="1">
      <c r="B47" s="288" t="s">
        <v>61</v>
      </c>
      <c r="C47" s="81">
        <f t="shared" si="1"/>
        <v>9512.7434738205793</v>
      </c>
      <c r="D47" s="289"/>
      <c r="E47" s="82" t="s">
        <v>61</v>
      </c>
      <c r="F47" s="81">
        <f t="shared" si="2"/>
        <v>8658.6179125286471</v>
      </c>
      <c r="G47" s="79"/>
      <c r="H47" s="288" t="s">
        <v>61</v>
      </c>
      <c r="I47" s="81">
        <f t="shared" si="3"/>
        <v>10675.511187369168</v>
      </c>
      <c r="J47" s="79"/>
    </row>
    <row r="48" spans="1:15" ht="21" customHeight="1">
      <c r="B48" s="286"/>
      <c r="C48" s="79"/>
      <c r="D48" s="289"/>
      <c r="E48" s="79"/>
      <c r="F48" s="79"/>
      <c r="G48" s="79"/>
      <c r="H48" s="286"/>
      <c r="I48" s="79"/>
      <c r="J48" s="79"/>
    </row>
    <row r="49" spans="1:10" ht="21" customHeight="1">
      <c r="B49" s="286"/>
      <c r="C49" s="79"/>
      <c r="D49" s="289"/>
      <c r="E49" s="79"/>
      <c r="F49" s="79"/>
      <c r="G49" s="79"/>
      <c r="H49" s="286"/>
      <c r="I49" s="79"/>
      <c r="J49" s="79"/>
    </row>
    <row r="50" spans="1:10" ht="21" customHeight="1">
      <c r="B50" s="286"/>
      <c r="C50" s="79"/>
      <c r="D50" s="289"/>
      <c r="E50" s="79"/>
      <c r="F50" s="79"/>
      <c r="G50" s="79"/>
      <c r="H50" s="286"/>
      <c r="I50" s="79"/>
      <c r="J50" s="79"/>
    </row>
    <row r="51" spans="1:10" ht="21" customHeight="1">
      <c r="B51" s="407"/>
      <c r="D51" s="408"/>
      <c r="H51" s="407"/>
    </row>
    <row r="52" spans="1:10" ht="12.75" customHeight="1">
      <c r="A52" s="290"/>
      <c r="B52" s="275"/>
      <c r="C52" s="275"/>
      <c r="D52" s="290"/>
      <c r="E52" s="275"/>
      <c r="F52" s="275"/>
      <c r="G52" s="290"/>
      <c r="H52" s="275"/>
      <c r="I52" s="275"/>
      <c r="J52" s="275"/>
    </row>
    <row r="53" spans="1:10" ht="12.95" customHeight="1">
      <c r="A53" s="406" t="s">
        <v>176</v>
      </c>
      <c r="B53" s="278">
        <v>89.41383171913877</v>
      </c>
      <c r="C53" s="279">
        <v>982.37349135394629</v>
      </c>
      <c r="D53" s="283" t="s">
        <v>200</v>
      </c>
      <c r="E53" s="279">
        <v>115.44515319134754</v>
      </c>
      <c r="F53" s="279">
        <v>1272.273307853231</v>
      </c>
      <c r="G53" s="280" t="s">
        <v>200</v>
      </c>
      <c r="H53" s="278">
        <v>440.17835452623336</v>
      </c>
      <c r="I53" s="279">
        <v>4867.0730213598763</v>
      </c>
      <c r="J53" s="280" t="s">
        <v>200</v>
      </c>
    </row>
    <row r="54" spans="1:10" ht="12.95" customHeight="1">
      <c r="A54" s="273" t="s">
        <v>177</v>
      </c>
      <c r="B54" s="281" t="s">
        <v>321</v>
      </c>
      <c r="C54" s="83" t="s">
        <v>321</v>
      </c>
      <c r="D54" s="284">
        <v>0</v>
      </c>
      <c r="E54" s="83" t="s">
        <v>321</v>
      </c>
      <c r="F54" s="83" t="s">
        <v>321</v>
      </c>
      <c r="G54" s="250">
        <v>0</v>
      </c>
      <c r="H54" s="281" t="s">
        <v>321</v>
      </c>
      <c r="I54" s="83" t="s">
        <v>321</v>
      </c>
      <c r="J54" s="250">
        <v>0</v>
      </c>
    </row>
    <row r="55" spans="1:10" ht="12.95" customHeight="1">
      <c r="A55" s="274" t="s">
        <v>178</v>
      </c>
      <c r="B55" s="282" t="s">
        <v>321</v>
      </c>
      <c r="C55" s="276" t="s">
        <v>321</v>
      </c>
      <c r="D55" s="285">
        <v>-12</v>
      </c>
      <c r="E55" s="276" t="s">
        <v>321</v>
      </c>
      <c r="F55" s="276" t="s">
        <v>321</v>
      </c>
      <c r="G55" s="277">
        <v>-12</v>
      </c>
      <c r="H55" s="282" t="s">
        <v>321</v>
      </c>
      <c r="I55" s="276" t="s">
        <v>321</v>
      </c>
      <c r="J55" s="277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4" zoomScaleNormal="100" zoomScaleSheetLayoutView="100" workbookViewId="0">
      <selection activeCell="M33" sqref="M33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275</v>
      </c>
    </row>
    <row r="2" spans="1:21" s="86" customFormat="1" ht="18">
      <c r="A2" s="471" t="s">
        <v>283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86"/>
      <c r="B3" s="486"/>
      <c r="C3" s="486"/>
      <c r="D3" s="308"/>
      <c r="E3" s="308"/>
      <c r="F3" s="309"/>
      <c r="G3" s="310"/>
      <c r="H3" s="310"/>
      <c r="I3" s="310"/>
      <c r="J3" s="275"/>
      <c r="K3" s="275"/>
    </row>
    <row r="4" spans="1:21" ht="15" customHeight="1">
      <c r="A4" s="497" t="s">
        <v>2</v>
      </c>
      <c r="B4" s="497"/>
      <c r="C4" s="497"/>
      <c r="D4" s="491">
        <f>'3.1'!A4</f>
        <v>2025</v>
      </c>
      <c r="E4" s="492"/>
      <c r="F4" s="492"/>
      <c r="G4" s="492"/>
      <c r="H4" s="369"/>
      <c r="I4" s="491">
        <f>D4-1</f>
        <v>2024</v>
      </c>
      <c r="J4" s="492"/>
      <c r="K4" s="492"/>
    </row>
    <row r="5" spans="1:21" ht="50.1" customHeight="1">
      <c r="A5" s="315"/>
      <c r="B5" s="315"/>
      <c r="C5" s="315"/>
      <c r="D5" s="493"/>
      <c r="E5" s="494"/>
      <c r="F5" s="494"/>
      <c r="G5" s="494"/>
      <c r="H5" s="173"/>
      <c r="I5" s="493"/>
      <c r="J5" s="494"/>
      <c r="K5" s="494"/>
    </row>
    <row r="6" spans="1:21" ht="24.95" customHeight="1">
      <c r="A6" s="497" t="s">
        <v>155</v>
      </c>
      <c r="B6" s="497"/>
      <c r="C6" s="497" t="s">
        <v>180</v>
      </c>
      <c r="D6" s="495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21" ht="22.5" customHeight="1">
      <c r="A7" s="498"/>
      <c r="B7" s="498"/>
      <c r="C7" s="498"/>
      <c r="D7" s="496"/>
      <c r="E7" s="218" t="s">
        <v>247</v>
      </c>
      <c r="F7" s="218" t="s">
        <v>248</v>
      </c>
      <c r="G7" s="476"/>
      <c r="H7" s="476"/>
      <c r="I7" s="220" t="s">
        <v>247</v>
      </c>
      <c r="J7" s="218" t="s">
        <v>248</v>
      </c>
      <c r="K7" s="476"/>
    </row>
    <row r="8" spans="1:21" ht="12.95" customHeight="1">
      <c r="A8" s="481" t="str">
        <f>'3.1'!D5</f>
        <v>Červenec</v>
      </c>
      <c r="B8" s="481"/>
      <c r="C8" s="163" t="s">
        <v>4</v>
      </c>
      <c r="D8" s="305">
        <v>1509</v>
      </c>
      <c r="E8" s="301">
        <v>221061.56981041998</v>
      </c>
      <c r="F8" s="301">
        <v>2428999.2311160001</v>
      </c>
      <c r="G8" s="302">
        <f t="shared" ref="G8:G13" si="0">E8/$E$14</f>
        <v>0.74962794914065689</v>
      </c>
      <c r="H8" s="302">
        <f>(E8-I8)/I8</f>
        <v>0.10261493027790805</v>
      </c>
      <c r="I8" s="305">
        <v>200488.46042262699</v>
      </c>
      <c r="J8" s="301">
        <v>2188322.859164</v>
      </c>
      <c r="K8" s="302">
        <f>I8/$I$14</f>
        <v>0.74293941530733765</v>
      </c>
      <c r="M8" s="381"/>
      <c r="N8" s="381"/>
      <c r="O8" s="381"/>
      <c r="P8" s="381"/>
      <c r="Q8" s="381"/>
      <c r="R8" s="381"/>
      <c r="S8" s="381"/>
      <c r="T8" s="381"/>
      <c r="U8" s="381"/>
    </row>
    <row r="9" spans="1:21" ht="12.95" customHeight="1">
      <c r="A9" s="482"/>
      <c r="B9" s="482"/>
      <c r="C9" s="153" t="s">
        <v>5</v>
      </c>
      <c r="D9" s="306">
        <v>5602</v>
      </c>
      <c r="E9" s="129">
        <v>20997.932877570998</v>
      </c>
      <c r="F9" s="129">
        <v>230643.15123799996</v>
      </c>
      <c r="G9" s="300">
        <f t="shared" si="0"/>
        <v>7.1204766041902817E-2</v>
      </c>
      <c r="H9" s="300">
        <f t="shared" ref="H9:H12" si="1">(E9-I9)/I9</f>
        <v>7.7610925368502368E-3</v>
      </c>
      <c r="I9" s="306">
        <v>20836.221037976993</v>
      </c>
      <c r="J9" s="129">
        <v>227445.46706</v>
      </c>
      <c r="K9" s="300">
        <f t="shared" ref="K9:K13" si="2">I9/$I$14</f>
        <v>7.7211675138495944E-2</v>
      </c>
      <c r="L9" s="90"/>
      <c r="M9" s="381"/>
      <c r="N9" s="381"/>
      <c r="O9" s="381"/>
      <c r="P9" s="381"/>
      <c r="Q9" s="381"/>
      <c r="R9" s="381"/>
      <c r="S9" s="381"/>
      <c r="T9" s="381"/>
      <c r="U9" s="381"/>
    </row>
    <row r="10" spans="1:21" ht="12.95" customHeight="1">
      <c r="A10" s="482"/>
      <c r="B10" s="482"/>
      <c r="C10" s="153" t="s">
        <v>6</v>
      </c>
      <c r="D10" s="306">
        <v>200893</v>
      </c>
      <c r="E10" s="129">
        <v>15662.708926367997</v>
      </c>
      <c r="F10" s="129">
        <v>171957.321678582</v>
      </c>
      <c r="G10" s="300">
        <f t="shared" si="0"/>
        <v>5.3112824542635037E-2</v>
      </c>
      <c r="H10" s="300">
        <f t="shared" si="1"/>
        <v>8.3700779471192643E-2</v>
      </c>
      <c r="I10" s="306">
        <v>14452.982984852</v>
      </c>
      <c r="J10" s="129">
        <v>157731.732853719</v>
      </c>
      <c r="K10" s="300">
        <f t="shared" si="2"/>
        <v>5.3557649680076036E-2</v>
      </c>
      <c r="L10" s="90"/>
      <c r="M10" s="381"/>
      <c r="N10" s="381"/>
      <c r="O10" s="381"/>
      <c r="P10" s="381"/>
      <c r="Q10" s="381"/>
      <c r="R10" s="381"/>
      <c r="S10" s="381"/>
      <c r="T10" s="381"/>
      <c r="U10" s="381"/>
    </row>
    <row r="11" spans="1:21" ht="12.95" customHeight="1">
      <c r="A11" s="482"/>
      <c r="B11" s="482"/>
      <c r="C11" s="153" t="s">
        <v>7</v>
      </c>
      <c r="D11" s="306">
        <v>2501839</v>
      </c>
      <c r="E11" s="129">
        <v>29690.780156635003</v>
      </c>
      <c r="F11" s="129">
        <v>326120.79973042198</v>
      </c>
      <c r="G11" s="300">
        <f t="shared" si="0"/>
        <v>0.10068253227502097</v>
      </c>
      <c r="H11" s="300">
        <f t="shared" si="1"/>
        <v>8.6147254860876182E-2</v>
      </c>
      <c r="I11" s="306">
        <v>27335.869997147001</v>
      </c>
      <c r="J11" s="129">
        <v>298417.84864728502</v>
      </c>
      <c r="K11" s="300">
        <f t="shared" si="2"/>
        <v>0.10129707829461561</v>
      </c>
      <c r="L11" s="90"/>
      <c r="M11" s="381"/>
      <c r="N11" s="381"/>
      <c r="O11" s="381"/>
      <c r="P11" s="381"/>
      <c r="Q11" s="381"/>
      <c r="R11" s="381"/>
      <c r="S11" s="381"/>
      <c r="T11" s="381"/>
      <c r="U11" s="381"/>
    </row>
    <row r="12" spans="1:21" ht="12.95" customHeight="1">
      <c r="A12" s="482"/>
      <c r="B12" s="482"/>
      <c r="C12" s="153" t="s">
        <v>90</v>
      </c>
      <c r="D12" s="306">
        <v>285</v>
      </c>
      <c r="E12" s="129">
        <v>7484.5939932790006</v>
      </c>
      <c r="F12" s="129">
        <v>82181.303216</v>
      </c>
      <c r="G12" s="300">
        <f t="shared" si="0"/>
        <v>2.5380534708696129E-2</v>
      </c>
      <c r="H12" s="300">
        <f t="shared" si="1"/>
        <v>-2.9948750326448999E-2</v>
      </c>
      <c r="I12" s="306">
        <v>7715.6686265780008</v>
      </c>
      <c r="J12" s="129">
        <v>84205.187653000001</v>
      </c>
      <c r="K12" s="300">
        <f t="shared" si="2"/>
        <v>2.8591542505994966E-2</v>
      </c>
      <c r="L12" s="90"/>
      <c r="M12" s="381"/>
      <c r="N12" s="381"/>
      <c r="O12" s="381"/>
      <c r="P12" s="381"/>
      <c r="Q12" s="381"/>
      <c r="R12" s="381"/>
      <c r="S12" s="381"/>
      <c r="T12" s="381"/>
      <c r="U12" s="381"/>
    </row>
    <row r="13" spans="1:21" ht="12.95" customHeight="1">
      <c r="A13" s="482"/>
      <c r="B13" s="482"/>
      <c r="C13" s="153" t="s">
        <v>91</v>
      </c>
      <c r="D13" s="306"/>
      <c r="E13" s="129">
        <v>-2.5380758350001145</v>
      </c>
      <c r="F13" s="129">
        <v>56.396474999994552</v>
      </c>
      <c r="G13" s="300">
        <f t="shared" si="0"/>
        <v>-8.6067089118486592E-6</v>
      </c>
      <c r="H13" s="300">
        <f>(E13-I13)/I13</f>
        <v>-0.99738552435910177</v>
      </c>
      <c r="I13" s="306">
        <v>-970.77815348400065</v>
      </c>
      <c r="J13" s="129">
        <v>-10482.413337266988</v>
      </c>
      <c r="K13" s="300">
        <f t="shared" si="2"/>
        <v>-3.5973609265201527E-3</v>
      </c>
      <c r="L13" s="90"/>
      <c r="M13" s="381"/>
      <c r="N13" s="381"/>
      <c r="O13" s="381"/>
      <c r="P13" s="381"/>
      <c r="Q13" s="381"/>
      <c r="R13" s="381"/>
      <c r="S13" s="381"/>
      <c r="T13" s="381"/>
      <c r="U13" s="381"/>
    </row>
    <row r="14" spans="1:21" ht="12.95" customHeight="1">
      <c r="A14" s="483"/>
      <c r="B14" s="483"/>
      <c r="C14" s="311" t="s">
        <v>0</v>
      </c>
      <c r="D14" s="314">
        <v>2710128</v>
      </c>
      <c r="E14" s="312">
        <v>294895.04768843798</v>
      </c>
      <c r="F14" s="312">
        <v>3239958.2034540041</v>
      </c>
      <c r="G14" s="313">
        <f>SUM(G8:G13)</f>
        <v>0.99999999999999989</v>
      </c>
      <c r="H14" s="313">
        <f>(E14-I14)/I14</f>
        <v>9.2776880249569343E-2</v>
      </c>
      <c r="I14" s="314">
        <v>269858.42491569696</v>
      </c>
      <c r="J14" s="312">
        <v>2945640.6820407375</v>
      </c>
      <c r="K14" s="313">
        <f>SUM(K8:K13)</f>
        <v>1.0000000000000002</v>
      </c>
      <c r="L14" s="90"/>
      <c r="M14" s="381"/>
      <c r="N14" s="381"/>
      <c r="O14" s="381"/>
      <c r="P14" s="381"/>
      <c r="Q14" s="381"/>
      <c r="R14" s="381"/>
      <c r="S14" s="381"/>
      <c r="T14" s="381"/>
      <c r="U14" s="381"/>
    </row>
    <row r="15" spans="1:21" ht="12.95" customHeight="1">
      <c r="A15" s="481" t="str">
        <f>'3.1'!E5</f>
        <v>Srpen</v>
      </c>
      <c r="B15" s="481"/>
      <c r="C15" s="163" t="s">
        <v>4</v>
      </c>
      <c r="D15" s="305">
        <v>1515</v>
      </c>
      <c r="E15" s="301">
        <v>192223.03408797403</v>
      </c>
      <c r="F15" s="301">
        <v>2118483.5175570003</v>
      </c>
      <c r="G15" s="302">
        <f>E15/$E$21</f>
        <v>0.71613542689344556</v>
      </c>
      <c r="H15" s="302">
        <f>(E15-I15)/I15</f>
        <v>-8.3974647509243147E-2</v>
      </c>
      <c r="I15" s="305">
        <v>209844.66594216196</v>
      </c>
      <c r="J15" s="301">
        <v>2293069.2876869999</v>
      </c>
      <c r="K15" s="302">
        <f>I15/$I$21</f>
        <v>0.74903787427915292</v>
      </c>
      <c r="L15" s="90"/>
      <c r="M15" s="381"/>
      <c r="N15" s="381"/>
      <c r="O15" s="381"/>
      <c r="P15" s="381"/>
      <c r="Q15" s="381"/>
      <c r="R15" s="381"/>
      <c r="S15" s="381"/>
      <c r="T15" s="381"/>
      <c r="U15" s="381"/>
    </row>
    <row r="16" spans="1:21" ht="12.95" customHeight="1">
      <c r="A16" s="482"/>
      <c r="B16" s="482"/>
      <c r="C16" s="153" t="s">
        <v>5</v>
      </c>
      <c r="D16" s="306">
        <v>5610</v>
      </c>
      <c r="E16" s="129">
        <v>21489.094322785997</v>
      </c>
      <c r="F16" s="129">
        <v>236823.20858900002</v>
      </c>
      <c r="G16" s="300">
        <f t="shared" ref="G16:G20" si="3">E16/$E$21</f>
        <v>8.0058572633697964E-2</v>
      </c>
      <c r="H16" s="300">
        <f t="shared" ref="H16:H18" si="4">(E16-I16)/I16</f>
        <v>-2.0143370409229543E-2</v>
      </c>
      <c r="I16" s="306">
        <v>21930.855671978003</v>
      </c>
      <c r="J16" s="129">
        <v>239580.354165</v>
      </c>
      <c r="K16" s="300">
        <f t="shared" ref="K16:K20" si="5">I16/$I$21</f>
        <v>7.828191124090321E-2</v>
      </c>
      <c r="L16" s="91"/>
      <c r="M16" s="381"/>
      <c r="N16" s="381"/>
      <c r="O16" s="381"/>
      <c r="P16" s="381"/>
      <c r="Q16" s="381"/>
      <c r="R16" s="381"/>
      <c r="S16" s="381"/>
      <c r="T16" s="381"/>
      <c r="U16" s="381"/>
    </row>
    <row r="17" spans="1:21" ht="12.95" customHeight="1">
      <c r="A17" s="482"/>
      <c r="B17" s="482"/>
      <c r="C17" s="153" t="s">
        <v>6</v>
      </c>
      <c r="D17" s="306">
        <v>200720</v>
      </c>
      <c r="E17" s="129">
        <v>16642.271287891002</v>
      </c>
      <c r="F17" s="129">
        <v>183332.930989377</v>
      </c>
      <c r="G17" s="300">
        <f t="shared" si="3"/>
        <v>6.20015187554257E-2</v>
      </c>
      <c r="H17" s="300">
        <f t="shared" si="4"/>
        <v>0.13520117060929157</v>
      </c>
      <c r="I17" s="306">
        <v>14660.195671714</v>
      </c>
      <c r="J17" s="129">
        <v>160144.63409747099</v>
      </c>
      <c r="K17" s="300">
        <f>I17/$I$21</f>
        <v>5.2329382560925911E-2</v>
      </c>
      <c r="L17" s="90"/>
      <c r="M17" s="381"/>
      <c r="N17" s="381"/>
      <c r="O17" s="381"/>
      <c r="P17" s="381"/>
      <c r="Q17" s="381"/>
      <c r="R17" s="381"/>
      <c r="S17" s="381"/>
      <c r="T17" s="381"/>
      <c r="U17" s="381"/>
    </row>
    <row r="18" spans="1:21" ht="12.95" customHeight="1">
      <c r="A18" s="482"/>
      <c r="B18" s="482"/>
      <c r="C18" s="153" t="s">
        <v>7</v>
      </c>
      <c r="D18" s="306">
        <v>2499759</v>
      </c>
      <c r="E18" s="129">
        <v>31043.828375027999</v>
      </c>
      <c r="F18" s="129">
        <v>342114.06212462002</v>
      </c>
      <c r="G18" s="300">
        <f t="shared" si="3"/>
        <v>0.11565515751656945</v>
      </c>
      <c r="H18" s="300">
        <f t="shared" si="4"/>
        <v>0.14092333130623674</v>
      </c>
      <c r="I18" s="306">
        <v>27209.390432471999</v>
      </c>
      <c r="J18" s="129">
        <v>297280.095894536</v>
      </c>
      <c r="K18" s="300">
        <f>I18/$I$21</f>
        <v>9.7123574137394489E-2</v>
      </c>
      <c r="L18" s="90"/>
      <c r="M18" s="381"/>
      <c r="N18" s="381"/>
      <c r="O18" s="381"/>
      <c r="P18" s="381"/>
      <c r="Q18" s="381"/>
      <c r="R18" s="381"/>
      <c r="S18" s="381"/>
      <c r="T18" s="381"/>
      <c r="U18" s="381"/>
    </row>
    <row r="19" spans="1:21" ht="12.95" customHeight="1">
      <c r="A19" s="482"/>
      <c r="B19" s="482"/>
      <c r="C19" s="153" t="s">
        <v>90</v>
      </c>
      <c r="D19" s="306">
        <v>284</v>
      </c>
      <c r="E19" s="129">
        <v>7253.7530815639993</v>
      </c>
      <c r="F19" s="129">
        <v>79917.726584999997</v>
      </c>
      <c r="G19" s="300">
        <f t="shared" si="3"/>
        <v>2.702417836807245E-2</v>
      </c>
      <c r="H19" s="300">
        <f>(E19-I19)/I19</f>
        <v>-5.0975568058232286E-2</v>
      </c>
      <c r="I19" s="306">
        <v>7643.3786501389995</v>
      </c>
      <c r="J19" s="129">
        <v>83480.316455999986</v>
      </c>
      <c r="K19" s="300">
        <f>I19/$I$21</f>
        <v>2.7282943174685076E-2</v>
      </c>
      <c r="L19" s="90"/>
      <c r="M19" s="381"/>
      <c r="N19" s="381"/>
      <c r="O19" s="381"/>
      <c r="P19" s="381"/>
      <c r="Q19" s="381"/>
      <c r="R19" s="381"/>
      <c r="S19" s="381"/>
      <c r="T19" s="381"/>
      <c r="U19" s="381"/>
    </row>
    <row r="20" spans="1:21" ht="12.95" customHeight="1">
      <c r="A20" s="482"/>
      <c r="B20" s="482"/>
      <c r="C20" s="153" t="s">
        <v>91</v>
      </c>
      <c r="D20" s="306"/>
      <c r="E20" s="129">
        <v>-234.82586685499862</v>
      </c>
      <c r="F20" s="129">
        <v>-2556.9420920000111</v>
      </c>
      <c r="G20" s="300">
        <f t="shared" si="3"/>
        <v>-8.7485416721111268E-4</v>
      </c>
      <c r="H20" s="300">
        <f t="shared" ref="H20" si="6">(E20-I20)/I20</f>
        <v>-0.79332520327801481</v>
      </c>
      <c r="I20" s="306">
        <v>-1136.2094971400004</v>
      </c>
      <c r="J20" s="129">
        <v>-12264.409343999991</v>
      </c>
      <c r="K20" s="300">
        <f t="shared" si="5"/>
        <v>-4.0556853930616664E-3</v>
      </c>
      <c r="L20" s="90"/>
      <c r="M20" s="381"/>
      <c r="N20" s="381"/>
      <c r="O20" s="381"/>
      <c r="P20" s="381"/>
      <c r="Q20" s="381"/>
      <c r="R20" s="381"/>
      <c r="S20" s="381"/>
      <c r="T20" s="381"/>
      <c r="U20" s="381"/>
    </row>
    <row r="21" spans="1:21" ht="12.95" customHeight="1">
      <c r="A21" s="483"/>
      <c r="B21" s="483"/>
      <c r="C21" s="311" t="s">
        <v>0</v>
      </c>
      <c r="D21" s="314">
        <v>2707888</v>
      </c>
      <c r="E21" s="312">
        <v>268417.15528838802</v>
      </c>
      <c r="F21" s="312">
        <v>2958114.5037529976</v>
      </c>
      <c r="G21" s="313">
        <f>SUM(G15:G20)</f>
        <v>0.99999999999999989</v>
      </c>
      <c r="H21" s="313">
        <f>(E21-I21)/I21</f>
        <v>-4.1888367690571894E-2</v>
      </c>
      <c r="I21" s="314">
        <v>280152.27687132498</v>
      </c>
      <c r="J21" s="312">
        <v>3061290.2789560067</v>
      </c>
      <c r="K21" s="313">
        <f>SUM(K15:K20)</f>
        <v>0.99999999999999989</v>
      </c>
      <c r="L21" s="90"/>
      <c r="M21" s="381"/>
      <c r="N21" s="381"/>
      <c r="O21" s="381"/>
      <c r="P21" s="381"/>
      <c r="Q21" s="381"/>
      <c r="R21" s="381"/>
      <c r="S21" s="381"/>
      <c r="T21" s="381"/>
      <c r="U21" s="381"/>
    </row>
    <row r="22" spans="1:21" ht="12.95" customHeight="1">
      <c r="A22" s="481" t="str">
        <f>'3.1'!F5</f>
        <v>Září</v>
      </c>
      <c r="B22" s="481"/>
      <c r="C22" s="163" t="s">
        <v>4</v>
      </c>
      <c r="D22" s="305">
        <v>1519</v>
      </c>
      <c r="E22" s="301">
        <v>205110.94489568201</v>
      </c>
      <c r="F22" s="301">
        <v>2267687.884995</v>
      </c>
      <c r="G22" s="302">
        <f>E22/$E$28</f>
        <v>0.6404406661680081</v>
      </c>
      <c r="H22" s="302">
        <f>(E22-I22)/I22</f>
        <v>-9.2261325870159616E-2</v>
      </c>
      <c r="I22" s="305">
        <v>225958.14273563001</v>
      </c>
      <c r="J22" s="301">
        <v>2472994.3823410003</v>
      </c>
      <c r="K22" s="302">
        <f>I22/$I$28</f>
        <v>0.67140653120284777</v>
      </c>
      <c r="L22" s="92"/>
      <c r="M22" s="381"/>
      <c r="N22" s="381"/>
      <c r="O22" s="381"/>
      <c r="P22" s="381"/>
      <c r="Q22" s="381"/>
      <c r="R22" s="381"/>
      <c r="S22" s="381"/>
      <c r="T22" s="381"/>
      <c r="U22" s="381"/>
    </row>
    <row r="23" spans="1:21" ht="12.95" customHeight="1">
      <c r="A23" s="482"/>
      <c r="B23" s="482"/>
      <c r="C23" s="153" t="s">
        <v>5</v>
      </c>
      <c r="D23" s="306">
        <v>5620</v>
      </c>
      <c r="E23" s="129">
        <v>29724.808644541001</v>
      </c>
      <c r="F23" s="129">
        <v>328702.54694799997</v>
      </c>
      <c r="G23" s="300">
        <f t="shared" ref="G23:G27" si="7">E23/$E$28</f>
        <v>9.2813068847732522E-2</v>
      </c>
      <c r="H23" s="300">
        <f t="shared" ref="H23:H26" si="8">(E23-I23)/I23</f>
        <v>3.9159950354294572E-2</v>
      </c>
      <c r="I23" s="306">
        <v>28604.651896377</v>
      </c>
      <c r="J23" s="129">
        <v>313004.59756599995</v>
      </c>
      <c r="K23" s="300">
        <f t="shared" ref="K23:K27" si="9">I23/$I$28</f>
        <v>8.4995167129168755E-2</v>
      </c>
      <c r="L23" s="92"/>
      <c r="M23" s="381"/>
      <c r="N23" s="381"/>
      <c r="O23" s="381"/>
      <c r="P23" s="381"/>
      <c r="Q23" s="381"/>
      <c r="R23" s="381"/>
      <c r="S23" s="381"/>
      <c r="T23" s="381"/>
      <c r="U23" s="381"/>
    </row>
    <row r="24" spans="1:21" ht="12.95" customHeight="1">
      <c r="A24" s="482"/>
      <c r="B24" s="482"/>
      <c r="C24" s="153" t="s">
        <v>6</v>
      </c>
      <c r="D24" s="306">
        <v>200629</v>
      </c>
      <c r="E24" s="129">
        <v>27034.713598569</v>
      </c>
      <c r="F24" s="129">
        <v>298934.27716236596</v>
      </c>
      <c r="G24" s="300">
        <f t="shared" si="7"/>
        <v>8.4413486542781441E-2</v>
      </c>
      <c r="H24" s="300">
        <f t="shared" si="8"/>
        <v>-2.6208470853611499E-2</v>
      </c>
      <c r="I24" s="306">
        <v>27762.321594917998</v>
      </c>
      <c r="J24" s="129">
        <v>303773.16047012096</v>
      </c>
      <c r="K24" s="300">
        <f t="shared" si="9"/>
        <v>8.2492287352486732E-2</v>
      </c>
      <c r="L24" s="92"/>
      <c r="M24" s="381"/>
      <c r="N24" s="381"/>
      <c r="O24" s="381"/>
      <c r="P24" s="381"/>
      <c r="Q24" s="381"/>
      <c r="R24" s="381"/>
      <c r="S24" s="381"/>
      <c r="T24" s="381"/>
      <c r="U24" s="381"/>
    </row>
    <row r="25" spans="1:21" ht="12.95" customHeight="1">
      <c r="A25" s="482"/>
      <c r="B25" s="482"/>
      <c r="C25" s="153" t="s">
        <v>7</v>
      </c>
      <c r="D25" s="306">
        <v>2497949</v>
      </c>
      <c r="E25" s="129">
        <v>48930.214638124002</v>
      </c>
      <c r="F25" s="129">
        <v>541085.51531464211</v>
      </c>
      <c r="G25" s="300">
        <f t="shared" si="7"/>
        <v>0.1527802393700711</v>
      </c>
      <c r="H25" s="300">
        <f t="shared" si="8"/>
        <v>3.7102171288076691E-2</v>
      </c>
      <c r="I25" s="306">
        <v>47179.743705822999</v>
      </c>
      <c r="J25" s="129">
        <v>516298.24881988904</v>
      </c>
      <c r="K25" s="300">
        <f t="shared" si="9"/>
        <v>0.14018874328254549</v>
      </c>
      <c r="L25" s="92"/>
      <c r="M25" s="381"/>
      <c r="N25" s="381"/>
      <c r="O25" s="381"/>
      <c r="P25" s="381"/>
      <c r="Q25" s="381"/>
      <c r="R25" s="381"/>
      <c r="S25" s="381"/>
      <c r="T25" s="381"/>
      <c r="U25" s="381"/>
    </row>
    <row r="26" spans="1:21" ht="12.95" customHeight="1">
      <c r="A26" s="482"/>
      <c r="B26" s="482"/>
      <c r="C26" s="153" t="s">
        <v>90</v>
      </c>
      <c r="D26" s="306">
        <v>284</v>
      </c>
      <c r="E26" s="129">
        <v>7533.3297226090017</v>
      </c>
      <c r="F26" s="129">
        <v>83274.964649999994</v>
      </c>
      <c r="G26" s="300">
        <f t="shared" si="7"/>
        <v>2.3522151431093784E-2</v>
      </c>
      <c r="H26" s="300">
        <f t="shared" si="8"/>
        <v>-1.6870146974653451E-2</v>
      </c>
      <c r="I26" s="306">
        <v>7662.5988921270009</v>
      </c>
      <c r="J26" s="129">
        <v>83816.705504000027</v>
      </c>
      <c r="K26" s="300">
        <f t="shared" si="9"/>
        <v>2.2768460033684518E-2</v>
      </c>
      <c r="L26" s="92"/>
      <c r="M26" s="381"/>
      <c r="N26" s="381"/>
      <c r="O26" s="381"/>
      <c r="P26" s="381"/>
      <c r="Q26" s="381"/>
      <c r="R26" s="381"/>
      <c r="S26" s="381"/>
      <c r="T26" s="381"/>
      <c r="U26" s="381"/>
    </row>
    <row r="27" spans="1:21" ht="12.95" customHeight="1">
      <c r="A27" s="482"/>
      <c r="B27" s="482"/>
      <c r="C27" s="153" t="s">
        <v>91</v>
      </c>
      <c r="D27" s="306"/>
      <c r="E27" s="129">
        <v>1931.3241215499993</v>
      </c>
      <c r="F27" s="129">
        <v>21503.873612999982</v>
      </c>
      <c r="G27" s="300">
        <f t="shared" si="7"/>
        <v>6.0303876403129172E-3</v>
      </c>
      <c r="H27" s="300">
        <f t="shared" ref="H27" si="10">(E27-I27)/I27</f>
        <v>-4.1000019624069042</v>
      </c>
      <c r="I27" s="306">
        <v>-623.0073867600006</v>
      </c>
      <c r="J27" s="129">
        <v>-6650.5752549999925</v>
      </c>
      <c r="K27" s="300">
        <f t="shared" si="9"/>
        <v>-1.8511890007331215E-3</v>
      </c>
      <c r="L27" s="92"/>
      <c r="M27" s="381"/>
      <c r="N27" s="381"/>
      <c r="O27" s="381"/>
      <c r="P27" s="381"/>
      <c r="Q27" s="381"/>
      <c r="R27" s="381"/>
      <c r="S27" s="381"/>
      <c r="T27" s="381"/>
      <c r="U27" s="381"/>
    </row>
    <row r="28" spans="1:21" ht="12.95" customHeight="1">
      <c r="A28" s="483"/>
      <c r="B28" s="483"/>
      <c r="C28" s="311" t="s">
        <v>0</v>
      </c>
      <c r="D28" s="314">
        <v>2706001</v>
      </c>
      <c r="E28" s="312">
        <v>320265.33562107506</v>
      </c>
      <c r="F28" s="312">
        <v>3541189.0626830081</v>
      </c>
      <c r="G28" s="313">
        <f>SUM(G22:G27)</f>
        <v>1</v>
      </c>
      <c r="H28" s="313">
        <f>(E28-I28)/I28</f>
        <v>-4.8371368915685053E-2</v>
      </c>
      <c r="I28" s="314">
        <v>336544.45143811498</v>
      </c>
      <c r="J28" s="312">
        <v>3683236.5194460107</v>
      </c>
      <c r="K28" s="313">
        <f>SUM(K22:K27)</f>
        <v>1.0000000000000002</v>
      </c>
      <c r="M28" s="381"/>
      <c r="N28" s="381"/>
      <c r="O28" s="381"/>
      <c r="P28" s="381"/>
      <c r="Q28" s="381"/>
      <c r="R28" s="381"/>
      <c r="S28" s="381"/>
      <c r="T28" s="381"/>
      <c r="U28" s="381"/>
    </row>
    <row r="29" spans="1:21" ht="12.95" customHeight="1">
      <c r="A29" s="484" t="str">
        <f>'3.1'!G5</f>
        <v>III. čtvrtletí</v>
      </c>
      <c r="B29" s="481"/>
      <c r="C29" s="163" t="s">
        <v>4</v>
      </c>
      <c r="D29" s="305">
        <f>D22</f>
        <v>1519</v>
      </c>
      <c r="E29" s="301">
        <f>E8+E15+E22</f>
        <v>618395.54879407608</v>
      </c>
      <c r="F29" s="301">
        <f>F8+F15+F22</f>
        <v>6815170.6336679999</v>
      </c>
      <c r="G29" s="302">
        <f>E29/$E$35</f>
        <v>0.69987694546352175</v>
      </c>
      <c r="H29" s="302">
        <f>(E29-I29)/I29</f>
        <v>-2.8125044575330552E-2</v>
      </c>
      <c r="I29" s="305">
        <f>I8+I15+I22</f>
        <v>636291.26910041901</v>
      </c>
      <c r="J29" s="301">
        <f>J8+J15+J22</f>
        <v>6954386.5291919997</v>
      </c>
      <c r="K29" s="302">
        <f>I29/$I$35</f>
        <v>0.71771199658103568</v>
      </c>
      <c r="M29" s="381"/>
      <c r="N29" s="381"/>
      <c r="O29" s="381"/>
      <c r="P29" s="381"/>
      <c r="Q29" s="381"/>
      <c r="R29" s="381"/>
      <c r="S29" s="381"/>
      <c r="T29" s="381"/>
      <c r="U29" s="381"/>
    </row>
    <row r="30" spans="1:21" ht="12.95" customHeight="1">
      <c r="A30" s="482"/>
      <c r="B30" s="482"/>
      <c r="C30" s="153" t="s">
        <v>5</v>
      </c>
      <c r="D30" s="306">
        <f t="shared" ref="D30:D33" si="11">D23</f>
        <v>5620</v>
      </c>
      <c r="E30" s="129">
        <f>E9+E16+E23</f>
        <v>72211.835844898</v>
      </c>
      <c r="F30" s="129">
        <f t="shared" ref="F30" si="12">F9+F16+F23</f>
        <v>796168.90677499992</v>
      </c>
      <c r="G30" s="300">
        <f t="shared" ref="G30:G34" si="13">E30/$E$35</f>
        <v>8.1726654074397179E-2</v>
      </c>
      <c r="H30" s="300">
        <f t="shared" ref="H30:H32" si="14">(E30-I30)/I30</f>
        <v>1.1770868591397131E-2</v>
      </c>
      <c r="I30" s="306">
        <f>I9+I16+I23</f>
        <v>71371.728606332006</v>
      </c>
      <c r="J30" s="129">
        <f t="shared" ref="J30" si="15">J9+J16+J23</f>
        <v>780030.41879099992</v>
      </c>
      <c r="K30" s="300">
        <f t="shared" ref="K30:K34" si="16">I30/$I$35</f>
        <v>8.0504555578627901E-2</v>
      </c>
      <c r="M30" s="381"/>
      <c r="N30" s="381"/>
      <c r="O30" s="381"/>
      <c r="P30" s="381"/>
      <c r="Q30" s="381"/>
      <c r="R30" s="381"/>
      <c r="S30" s="381"/>
      <c r="T30" s="381"/>
      <c r="U30" s="381"/>
    </row>
    <row r="31" spans="1:21" ht="12.95" customHeight="1">
      <c r="A31" s="482"/>
      <c r="B31" s="482"/>
      <c r="C31" s="153" t="s">
        <v>6</v>
      </c>
      <c r="D31" s="306">
        <f t="shared" si="11"/>
        <v>200629</v>
      </c>
      <c r="E31" s="129">
        <f t="shared" ref="E31:F31" si="17">E10+E17+E24</f>
        <v>59339.693812828002</v>
      </c>
      <c r="F31" s="129">
        <f t="shared" si="17"/>
        <v>654224.52983032493</v>
      </c>
      <c r="G31" s="300">
        <f t="shared" si="13"/>
        <v>6.7158445321041968E-2</v>
      </c>
      <c r="H31" s="300">
        <f t="shared" si="14"/>
        <v>4.3326099119096607E-2</v>
      </c>
      <c r="I31" s="306">
        <f t="shared" ref="I31:J31" si="18">I10+I17+I24</f>
        <v>56875.500251484002</v>
      </c>
      <c r="J31" s="129">
        <f t="shared" si="18"/>
        <v>621649.52742131101</v>
      </c>
      <c r="K31" s="300">
        <f t="shared" si="16"/>
        <v>6.4153369414841926E-2</v>
      </c>
      <c r="M31" s="381"/>
      <c r="N31" s="381"/>
      <c r="O31" s="381"/>
      <c r="P31" s="381"/>
      <c r="Q31" s="381"/>
      <c r="R31" s="381"/>
      <c r="S31" s="381"/>
      <c r="T31" s="381"/>
      <c r="U31" s="381"/>
    </row>
    <row r="32" spans="1:21" ht="12.95" customHeight="1">
      <c r="A32" s="482"/>
      <c r="B32" s="482"/>
      <c r="C32" s="153" t="s">
        <v>7</v>
      </c>
      <c r="D32" s="306">
        <f t="shared" si="11"/>
        <v>2497949</v>
      </c>
      <c r="E32" s="129">
        <f>E11+E18+E25</f>
        <v>109664.82316978701</v>
      </c>
      <c r="F32" s="129">
        <f t="shared" ref="E32:F34" si="19">F11+F18+F25</f>
        <v>1209320.377169684</v>
      </c>
      <c r="G32" s="300">
        <f t="shared" si="13"/>
        <v>0.12411454386199977</v>
      </c>
      <c r="H32" s="300">
        <f t="shared" si="14"/>
        <v>7.805179367477362E-2</v>
      </c>
      <c r="I32" s="306">
        <f>I11+I18+I25</f>
        <v>101725.004135442</v>
      </c>
      <c r="J32" s="129">
        <f t="shared" ref="J32" si="20">J11+J18+J25</f>
        <v>1111996.1933617101</v>
      </c>
      <c r="K32" s="300">
        <f t="shared" si="16"/>
        <v>0.11474187901946509</v>
      </c>
      <c r="M32" s="381"/>
      <c r="N32" s="381"/>
      <c r="O32" s="381"/>
      <c r="P32" s="381"/>
      <c r="Q32" s="381"/>
      <c r="R32" s="381"/>
      <c r="S32" s="381"/>
      <c r="T32" s="381"/>
      <c r="U32" s="381"/>
    </row>
    <row r="33" spans="1:21" ht="12.95" customHeight="1">
      <c r="A33" s="482"/>
      <c r="B33" s="482"/>
      <c r="C33" s="153" t="s">
        <v>90</v>
      </c>
      <c r="D33" s="306">
        <f t="shared" si="11"/>
        <v>284</v>
      </c>
      <c r="E33" s="129">
        <f>E12+E19+E26</f>
        <v>22271.676797452004</v>
      </c>
      <c r="F33" s="129">
        <f t="shared" si="19"/>
        <v>245373.99445100001</v>
      </c>
      <c r="G33" s="300">
        <f t="shared" si="13"/>
        <v>2.5206250526460482E-2</v>
      </c>
      <c r="H33" s="300">
        <f>(E33-I33)/I33</f>
        <v>-3.2576704806060085E-2</v>
      </c>
      <c r="I33" s="306">
        <f>I12+I19+I26</f>
        <v>23021.646168843999</v>
      </c>
      <c r="J33" s="129">
        <f t="shared" ref="J33" si="21">J12+J19+J26</f>
        <v>251502.20961299998</v>
      </c>
      <c r="K33" s="300">
        <f t="shared" si="16"/>
        <v>2.5967528455612902E-2</v>
      </c>
      <c r="M33" s="381"/>
      <c r="N33" s="381"/>
      <c r="O33" s="381"/>
      <c r="P33" s="381"/>
      <c r="Q33" s="381"/>
      <c r="R33" s="381"/>
      <c r="S33" s="381"/>
      <c r="T33" s="381"/>
      <c r="U33" s="381"/>
    </row>
    <row r="34" spans="1:21" ht="12.95" customHeight="1">
      <c r="A34" s="482"/>
      <c r="B34" s="482"/>
      <c r="C34" s="153" t="s">
        <v>91</v>
      </c>
      <c r="D34" s="306"/>
      <c r="E34" s="129">
        <f t="shared" si="19"/>
        <v>1693.9601788600005</v>
      </c>
      <c r="F34" s="129">
        <f t="shared" si="19"/>
        <v>19003.327995999964</v>
      </c>
      <c r="G34" s="300">
        <f t="shared" si="13"/>
        <v>1.9171607525787144E-3</v>
      </c>
      <c r="H34" s="300">
        <f t="shared" ref="H34" si="22">(E34-I34)/I34</f>
        <v>-1.6204993619633923</v>
      </c>
      <c r="I34" s="306">
        <f t="shared" ref="I34:J34" si="23">I13+I20+I27</f>
        <v>-2729.995037384002</v>
      </c>
      <c r="J34" s="129">
        <f t="shared" si="23"/>
        <v>-29397.397936266971</v>
      </c>
      <c r="K34" s="300">
        <f t="shared" si="16"/>
        <v>-3.0793290495833726E-3</v>
      </c>
      <c r="M34" s="381"/>
      <c r="N34" s="381"/>
      <c r="O34" s="381"/>
      <c r="P34" s="381"/>
      <c r="Q34" s="381"/>
      <c r="R34" s="381"/>
      <c r="S34" s="381"/>
      <c r="T34" s="381"/>
      <c r="U34" s="381"/>
    </row>
    <row r="35" spans="1:21" ht="12.95" customHeight="1">
      <c r="A35" s="483"/>
      <c r="B35" s="483"/>
      <c r="C35" s="311" t="s">
        <v>0</v>
      </c>
      <c r="D35" s="314">
        <f>SUM(D29:D34)</f>
        <v>2706001</v>
      </c>
      <c r="E35" s="312">
        <f>SUM(E29:E34)</f>
        <v>883577.53859790124</v>
      </c>
      <c r="F35" s="312">
        <f>SUM(F29:F34)</f>
        <v>9739261.7698900085</v>
      </c>
      <c r="G35" s="313">
        <f>SUM(G29:G34)</f>
        <v>1</v>
      </c>
      <c r="H35" s="313">
        <f>(E35-I35)/I35</f>
        <v>-3.3586343911076819E-3</v>
      </c>
      <c r="I35" s="314">
        <f>SUM(I29:I34)</f>
        <v>886555.15322513692</v>
      </c>
      <c r="J35" s="312">
        <f>SUM(J29:J34)</f>
        <v>9690167.4804427531</v>
      </c>
      <c r="K35" s="313">
        <f>SUM(K29:K34)</f>
        <v>1.0000000000000002</v>
      </c>
      <c r="M35" s="381"/>
      <c r="N35" s="381"/>
      <c r="O35" s="381"/>
      <c r="P35" s="381"/>
      <c r="Q35" s="381"/>
      <c r="R35" s="381"/>
      <c r="S35" s="381"/>
      <c r="T35" s="381"/>
      <c r="U35" s="381"/>
    </row>
    <row r="36" spans="1:21" ht="20.100000000000001" customHeight="1">
      <c r="A36" s="126"/>
      <c r="B36" s="296"/>
      <c r="C36" s="101"/>
      <c r="D36" s="88"/>
      <c r="E36" s="88"/>
      <c r="F36" s="88"/>
      <c r="G36" s="485" t="s">
        <v>258</v>
      </c>
      <c r="H36" s="485"/>
      <c r="I36" s="485"/>
      <c r="J36" s="485"/>
      <c r="K36" s="485"/>
    </row>
    <row r="37" spans="1:21" ht="15" customHeight="1">
      <c r="A37" s="477" t="s">
        <v>257</v>
      </c>
      <c r="B37" s="477"/>
      <c r="C37" s="477"/>
      <c r="D37" s="477"/>
      <c r="E37" s="477"/>
      <c r="F37" s="119"/>
      <c r="G37" s="485"/>
      <c r="H37" s="485"/>
      <c r="I37" s="485"/>
      <c r="J37" s="485"/>
      <c r="K37" s="485"/>
      <c r="M37" s="93"/>
      <c r="N37" s="93"/>
      <c r="O37" s="93"/>
      <c r="P37" s="93"/>
      <c r="Q37" s="93"/>
      <c r="R37" s="93"/>
      <c r="S37" s="93"/>
    </row>
    <row r="38" spans="1:21" ht="15" customHeight="1">
      <c r="A38" s="478" t="str">
        <f>A29</f>
        <v>III. čtvrtletí</v>
      </c>
      <c r="B38" s="479"/>
      <c r="C38" s="479"/>
      <c r="D38" s="479"/>
      <c r="E38" s="479"/>
      <c r="F38" s="125"/>
      <c r="G38" s="480" t="str">
        <f>A29</f>
        <v>III. čtvrtletí</v>
      </c>
      <c r="H38" s="480"/>
      <c r="I38" s="480"/>
      <c r="J38" s="480"/>
      <c r="K38" s="480"/>
      <c r="M38" s="93"/>
      <c r="N38" s="93"/>
      <c r="O38" s="93"/>
      <c r="P38" s="93"/>
      <c r="Q38" s="93"/>
      <c r="R38" s="93"/>
      <c r="S38" s="93"/>
    </row>
    <row r="39" spans="1:21" ht="15" customHeight="1">
      <c r="A39" s="126"/>
      <c r="B39" s="126"/>
      <c r="C39" s="126"/>
      <c r="D39" s="76"/>
      <c r="E39" s="76"/>
      <c r="F39" s="76"/>
      <c r="G39" s="126"/>
      <c r="H39" s="126"/>
      <c r="I39" s="126"/>
      <c r="J39" s="126"/>
      <c r="K39" s="126"/>
      <c r="M39" s="93"/>
      <c r="N39" s="93"/>
      <c r="O39" s="93"/>
      <c r="P39" s="93"/>
      <c r="Q39" s="93"/>
      <c r="R39" s="93"/>
      <c r="S39" s="93"/>
      <c r="T39" s="93"/>
    </row>
    <row r="40" spans="1:21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1" ht="15" customHeight="1">
      <c r="A41" s="94"/>
      <c r="B41" s="94"/>
      <c r="C41" s="94"/>
      <c r="D41" s="76"/>
      <c r="E41" s="76"/>
      <c r="F41" s="76"/>
      <c r="G41" s="94"/>
      <c r="H41" s="94"/>
      <c r="I41" s="94"/>
      <c r="J41" s="94"/>
      <c r="K41" s="94"/>
    </row>
    <row r="42" spans="1:21" ht="15" customHeight="1">
      <c r="A42" s="94"/>
      <c r="B42" s="94"/>
      <c r="C42" s="94">
        <f>D4</f>
        <v>2025</v>
      </c>
      <c r="D42" s="94">
        <f>I4</f>
        <v>2024</v>
      </c>
      <c r="E42" s="76"/>
      <c r="F42" s="76"/>
      <c r="G42" s="76"/>
      <c r="H42" s="94"/>
      <c r="I42" s="94">
        <f>D4</f>
        <v>2025</v>
      </c>
      <c r="J42" s="94">
        <f>I4</f>
        <v>2024</v>
      </c>
      <c r="K42" s="94"/>
    </row>
    <row r="43" spans="1:21" ht="15" customHeight="1">
      <c r="A43" s="94"/>
      <c r="B43" s="94" t="str">
        <f>A8</f>
        <v>Červenec</v>
      </c>
      <c r="C43" s="78">
        <f>E14</f>
        <v>294895.04768843798</v>
      </c>
      <c r="D43" s="78">
        <f>I14</f>
        <v>269858.42491569696</v>
      </c>
      <c r="E43" s="76"/>
      <c r="F43" s="76"/>
      <c r="G43" s="76"/>
      <c r="H43" s="94" t="str">
        <f>A8</f>
        <v>Červenec</v>
      </c>
      <c r="I43" s="95">
        <f>E14/E35</f>
        <v>0.3337511817654284</v>
      </c>
      <c r="J43" s="95">
        <f>I14/I35</f>
        <v>0.30438988926294985</v>
      </c>
      <c r="K43" s="94"/>
    </row>
    <row r="44" spans="1:21" ht="15" customHeight="1">
      <c r="A44" s="94"/>
      <c r="B44" s="94" t="str">
        <f>A15</f>
        <v>Srpen</v>
      </c>
      <c r="C44" s="78">
        <f>E21</f>
        <v>268417.15528838802</v>
      </c>
      <c r="D44" s="78">
        <f>I21</f>
        <v>280152.27687132498</v>
      </c>
      <c r="E44" s="76"/>
      <c r="F44" s="76"/>
      <c r="G44" s="76"/>
      <c r="H44" s="94" t="str">
        <f>A15</f>
        <v>Srpen</v>
      </c>
      <c r="I44" s="95">
        <f>E21/E35</f>
        <v>0.3037844937913699</v>
      </c>
      <c r="J44" s="95">
        <f>I21/I35</f>
        <v>0.31600095702131858</v>
      </c>
      <c r="K44" s="94"/>
    </row>
    <row r="45" spans="1:21" ht="15" customHeight="1">
      <c r="A45" s="94"/>
      <c r="B45" s="94" t="str">
        <f>A22</f>
        <v>Září</v>
      </c>
      <c r="C45" s="78">
        <f>E28</f>
        <v>320265.33562107506</v>
      </c>
      <c r="D45" s="78">
        <f>I28</f>
        <v>336544.45143811498</v>
      </c>
      <c r="E45" s="76"/>
      <c r="F45" s="76"/>
      <c r="G45" s="76"/>
      <c r="H45" s="94" t="str">
        <f>A22</f>
        <v>Září</v>
      </c>
      <c r="I45" s="95">
        <f>E28/E35</f>
        <v>0.36246432444320148</v>
      </c>
      <c r="J45" s="95">
        <f>I28/I35</f>
        <v>0.37960915371573162</v>
      </c>
      <c r="K45" s="94"/>
    </row>
    <row r="46" spans="1:21" ht="15" customHeight="1">
      <c r="A46" s="94"/>
      <c r="B46" s="94"/>
      <c r="C46" s="78">
        <f>SUM(C43:C45)</f>
        <v>883577.53859790112</v>
      </c>
      <c r="D46" s="78">
        <f>SUM(D43:D45)</f>
        <v>886555.15322513692</v>
      </c>
      <c r="E46" s="94"/>
      <c r="F46" s="94"/>
      <c r="G46" s="94"/>
      <c r="H46" s="94"/>
      <c r="I46" s="96">
        <f>SUM(I43:I45)</f>
        <v>0.99999999999999978</v>
      </c>
      <c r="J46" s="96">
        <f>SUM(J43:J45)</f>
        <v>1</v>
      </c>
      <c r="K46" s="94"/>
    </row>
    <row r="47" spans="1:21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1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310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86"/>
      <c r="B2" s="486"/>
      <c r="C2" s="486"/>
      <c r="D2" s="308"/>
      <c r="E2" s="308"/>
      <c r="F2" s="309"/>
      <c r="G2" s="310"/>
      <c r="H2" s="310"/>
      <c r="I2" s="310"/>
      <c r="J2" s="275"/>
      <c r="K2" s="275"/>
    </row>
    <row r="3" spans="1:21" ht="15" customHeight="1">
      <c r="A3" s="497" t="s">
        <v>242</v>
      </c>
      <c r="B3" s="497"/>
      <c r="C3" s="497"/>
      <c r="D3" s="334">
        <f>'3.1'!A4</f>
        <v>2025</v>
      </c>
      <c r="E3" s="492"/>
      <c r="F3" s="492"/>
      <c r="G3" s="492"/>
      <c r="H3" s="333"/>
      <c r="I3" s="491">
        <f>D3-1</f>
        <v>2024</v>
      </c>
      <c r="J3" s="492"/>
      <c r="K3" s="492"/>
    </row>
    <row r="4" spans="1:21" ht="50.1" customHeight="1">
      <c r="A4" s="498"/>
      <c r="B4" s="498"/>
      <c r="C4" s="498"/>
      <c r="D4" s="336"/>
      <c r="E4" s="494"/>
      <c r="F4" s="494"/>
      <c r="G4" s="494"/>
      <c r="H4" s="173"/>
      <c r="I4" s="493"/>
      <c r="J4" s="494"/>
      <c r="K4" s="494"/>
    </row>
    <row r="5" spans="1:21" ht="24.95" customHeight="1">
      <c r="A5" s="497" t="s">
        <v>155</v>
      </c>
      <c r="B5" s="497"/>
      <c r="C5" s="499" t="s">
        <v>180</v>
      </c>
      <c r="D5" s="495" t="s">
        <v>156</v>
      </c>
      <c r="E5" s="489" t="s">
        <v>59</v>
      </c>
      <c r="F5" s="489"/>
      <c r="G5" s="490" t="s">
        <v>32</v>
      </c>
      <c r="H5" s="490" t="s">
        <v>256</v>
      </c>
      <c r="I5" s="487" t="s">
        <v>59</v>
      </c>
      <c r="J5" s="488"/>
      <c r="K5" s="490" t="s">
        <v>32</v>
      </c>
    </row>
    <row r="6" spans="1:21" ht="22.5" customHeight="1">
      <c r="A6" s="498"/>
      <c r="B6" s="498"/>
      <c r="C6" s="500"/>
      <c r="D6" s="496"/>
      <c r="E6" s="218" t="s">
        <v>247</v>
      </c>
      <c r="F6" s="218" t="s">
        <v>248</v>
      </c>
      <c r="G6" s="476"/>
      <c r="H6" s="476"/>
      <c r="I6" s="220" t="s">
        <v>247</v>
      </c>
      <c r="J6" s="218" t="s">
        <v>248</v>
      </c>
      <c r="K6" s="476"/>
    </row>
    <row r="7" spans="1:21" ht="12.95" customHeight="1">
      <c r="A7" s="431" t="str">
        <f>'3.1'!D5</f>
        <v>Červenec</v>
      </c>
      <c r="B7" s="431"/>
      <c r="C7" s="163" t="s">
        <v>4</v>
      </c>
      <c r="D7" s="305">
        <v>126</v>
      </c>
      <c r="E7" s="301">
        <v>6400.5034404199996</v>
      </c>
      <c r="F7" s="301">
        <v>70162.345719999998</v>
      </c>
      <c r="G7" s="302">
        <f t="shared" ref="G7:G12" si="0">E7/$E$13</f>
        <v>0.35222715424885626</v>
      </c>
      <c r="H7" s="302">
        <f>(E7-I7)/I7</f>
        <v>-9.7332346546315673E-2</v>
      </c>
      <c r="I7" s="305">
        <v>7090.6533716270005</v>
      </c>
      <c r="J7" s="301">
        <v>77370.490310000008</v>
      </c>
      <c r="K7" s="302">
        <f>I7/$I$13</f>
        <v>0.38628871848450519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2"/>
      <c r="B8" s="432"/>
      <c r="C8" s="153" t="s">
        <v>5</v>
      </c>
      <c r="D8" s="306">
        <v>1322</v>
      </c>
      <c r="E8" s="129">
        <v>2856.8466945710002</v>
      </c>
      <c r="F8" s="129">
        <v>31316.765520000001</v>
      </c>
      <c r="G8" s="300">
        <f t="shared" si="0"/>
        <v>0.15721559885419956</v>
      </c>
      <c r="H8" s="300">
        <f t="shared" ref="H8:H11" si="1">(E8-I8)/I8</f>
        <v>1.1423942506909344E-2</v>
      </c>
      <c r="I8" s="306">
        <v>2824.5788679769998</v>
      </c>
      <c r="J8" s="129">
        <v>30820.790270000001</v>
      </c>
      <c r="K8" s="300">
        <f t="shared" ref="K8:K12" si="2">I8/$I$13</f>
        <v>0.15387904244977757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2"/>
      <c r="B9" s="432"/>
      <c r="C9" s="153" t="s">
        <v>6</v>
      </c>
      <c r="D9" s="306">
        <v>37371</v>
      </c>
      <c r="E9" s="129">
        <v>3028.682305368</v>
      </c>
      <c r="F9" s="129">
        <v>33200.428210582002</v>
      </c>
      <c r="G9" s="300">
        <f t="shared" si="0"/>
        <v>0.16667191252593622</v>
      </c>
      <c r="H9" s="300">
        <f t="shared" si="1"/>
        <v>0.19316890510855811</v>
      </c>
      <c r="I9" s="306">
        <v>2538.3516888519998</v>
      </c>
      <c r="J9" s="129">
        <v>27697.582078718999</v>
      </c>
      <c r="K9" s="300">
        <f t="shared" si="2"/>
        <v>0.13828579251570824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2"/>
      <c r="B10" s="432"/>
      <c r="C10" s="153" t="s">
        <v>7</v>
      </c>
      <c r="D10" s="306">
        <v>356432</v>
      </c>
      <c r="E10" s="129">
        <v>4081.8763296350003</v>
      </c>
      <c r="F10" s="129">
        <v>44745.545548422</v>
      </c>
      <c r="G10" s="300">
        <f t="shared" si="0"/>
        <v>0.22463040555584135</v>
      </c>
      <c r="H10" s="300">
        <f t="shared" si="1"/>
        <v>2.7620158749628199E-2</v>
      </c>
      <c r="I10" s="306">
        <v>3972.1645151470002</v>
      </c>
      <c r="J10" s="129">
        <v>43342.832741284998</v>
      </c>
      <c r="K10" s="300">
        <f t="shared" si="2"/>
        <v>0.21639787756451576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2"/>
      <c r="B11" s="432"/>
      <c r="C11" s="153" t="s">
        <v>90</v>
      </c>
      <c r="D11" s="306">
        <v>41</v>
      </c>
      <c r="E11" s="129">
        <v>1125.207993279</v>
      </c>
      <c r="F11" s="129">
        <v>12334.53477</v>
      </c>
      <c r="G11" s="300">
        <f t="shared" si="0"/>
        <v>6.1921505565931123E-2</v>
      </c>
      <c r="H11" s="300">
        <f t="shared" si="1"/>
        <v>-2.7931340367656422E-2</v>
      </c>
      <c r="I11" s="306">
        <v>1157.539626578</v>
      </c>
      <c r="J11" s="129">
        <v>12630.656720000001</v>
      </c>
      <c r="K11" s="300">
        <f t="shared" si="2"/>
        <v>6.3061113766339397E-2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2"/>
      <c r="B12" s="432"/>
      <c r="C12" s="153" t="s">
        <v>91</v>
      </c>
      <c r="D12" s="306"/>
      <c r="E12" s="129">
        <v>678.40511745599997</v>
      </c>
      <c r="F12" s="129">
        <v>7436.67976</v>
      </c>
      <c r="G12" s="300">
        <f t="shared" si="0"/>
        <v>3.7333423249235519E-2</v>
      </c>
      <c r="H12" s="300">
        <f>(E12-I12)/I12</f>
        <v>-0.12186311905683386</v>
      </c>
      <c r="I12" s="306">
        <v>772.55053531900001</v>
      </c>
      <c r="J12" s="129">
        <v>8429.7940099999996</v>
      </c>
      <c r="K12" s="300">
        <f t="shared" si="2"/>
        <v>4.2087455219154038E-2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33"/>
      <c r="B13" s="433"/>
      <c r="C13" s="311" t="s">
        <v>0</v>
      </c>
      <c r="D13" s="314">
        <v>395292</v>
      </c>
      <c r="E13" s="312">
        <v>18171.521880729</v>
      </c>
      <c r="F13" s="312">
        <v>199196.299529004</v>
      </c>
      <c r="G13" s="313">
        <f>SUM(G7:G12)</f>
        <v>1</v>
      </c>
      <c r="H13" s="313">
        <f>(E13-I13)/I13</f>
        <v>-1.0041313215500267E-2</v>
      </c>
      <c r="I13" s="314">
        <v>18355.838605499997</v>
      </c>
      <c r="J13" s="312">
        <v>200292.14613000402</v>
      </c>
      <c r="K13" s="313">
        <f>SUM(K7:K12)</f>
        <v>1.0000000000000002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31" t="str">
        <f>'3.1'!E5</f>
        <v>Srpen</v>
      </c>
      <c r="B14" s="431"/>
      <c r="C14" s="163" t="s">
        <v>4</v>
      </c>
      <c r="D14" s="305">
        <v>126</v>
      </c>
      <c r="E14" s="301">
        <v>6225.5558649739996</v>
      </c>
      <c r="F14" s="301">
        <v>68682.669990000009</v>
      </c>
      <c r="G14" s="302">
        <f>E14/$E$20</f>
        <v>0.33945501818572538</v>
      </c>
      <c r="H14" s="302">
        <f>(E14-I14)/I14</f>
        <v>0.1554822540392834</v>
      </c>
      <c r="I14" s="305">
        <v>5387.8420401620006</v>
      </c>
      <c r="J14" s="301">
        <v>58857.299480000001</v>
      </c>
      <c r="K14" s="302">
        <f>I14/$I$20</f>
        <v>0.32714179499690854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2"/>
      <c r="B15" s="432"/>
      <c r="C15" s="153" t="s">
        <v>5</v>
      </c>
      <c r="D15" s="306">
        <v>1325</v>
      </c>
      <c r="E15" s="129">
        <v>2904.8262537860001</v>
      </c>
      <c r="F15" s="129">
        <v>32047.133990000002</v>
      </c>
      <c r="G15" s="300">
        <f t="shared" ref="G15:G19" si="3">E15/$E$20</f>
        <v>0.15838872386528932</v>
      </c>
      <c r="H15" s="300">
        <f t="shared" ref="H15:H17" si="4">(E15-I15)/I15</f>
        <v>3.7713582305703909E-2</v>
      </c>
      <c r="I15" s="306">
        <v>2799.2562719779999</v>
      </c>
      <c r="J15" s="129">
        <v>30579.350310000002</v>
      </c>
      <c r="K15" s="300">
        <f t="shared" ref="K15:K19" si="5">I15/$I$20</f>
        <v>0.16996669810381126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2"/>
      <c r="B16" s="432"/>
      <c r="C16" s="153" t="s">
        <v>6</v>
      </c>
      <c r="D16" s="306">
        <v>37263</v>
      </c>
      <c r="E16" s="129">
        <v>3129.4677118909999</v>
      </c>
      <c r="F16" s="129">
        <v>34525.462908376998</v>
      </c>
      <c r="G16" s="300">
        <f t="shared" si="3"/>
        <v>0.17063753696731729</v>
      </c>
      <c r="H16" s="300">
        <f t="shared" si="4"/>
        <v>0.26802281658361432</v>
      </c>
      <c r="I16" s="306">
        <v>2467.9900637139999</v>
      </c>
      <c r="J16" s="129">
        <v>26960.565731471001</v>
      </c>
      <c r="K16" s="300">
        <f>I16/$I$20</f>
        <v>0.1498527041920584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2"/>
      <c r="B17" s="432"/>
      <c r="C17" s="153" t="s">
        <v>7</v>
      </c>
      <c r="D17" s="306">
        <v>356077</v>
      </c>
      <c r="E17" s="129">
        <v>4261.873244028</v>
      </c>
      <c r="F17" s="129">
        <v>47018.585955620001</v>
      </c>
      <c r="G17" s="300">
        <f t="shared" si="3"/>
        <v>0.23238314633015075</v>
      </c>
      <c r="H17" s="300">
        <f t="shared" si="4"/>
        <v>9.5914925641117393E-2</v>
      </c>
      <c r="I17" s="306">
        <v>3888.8723424720001</v>
      </c>
      <c r="J17" s="129">
        <v>42482.423228535998</v>
      </c>
      <c r="K17" s="300">
        <f>I17/$I$20</f>
        <v>0.23612657333804649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2"/>
      <c r="B18" s="432"/>
      <c r="C18" s="153" t="s">
        <v>90</v>
      </c>
      <c r="D18" s="306">
        <v>41</v>
      </c>
      <c r="E18" s="129">
        <v>1126.9340815640001</v>
      </c>
      <c r="F18" s="129">
        <v>12432.75995</v>
      </c>
      <c r="G18" s="300">
        <f t="shared" si="3"/>
        <v>6.1447272733294964E-2</v>
      </c>
      <c r="H18" s="300">
        <f>(E18-I18)/I18</f>
        <v>-3.1210738535831166E-2</v>
      </c>
      <c r="I18" s="306">
        <v>1163.2396501390001</v>
      </c>
      <c r="J18" s="129">
        <v>12707.344129999999</v>
      </c>
      <c r="K18" s="300">
        <f>I18/$I$20</f>
        <v>7.0630190031815837E-2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2"/>
      <c r="B19" s="432"/>
      <c r="C19" s="153" t="s">
        <v>91</v>
      </c>
      <c r="D19" s="306"/>
      <c r="E19" s="129">
        <v>691.19799819700006</v>
      </c>
      <c r="F19" s="129">
        <v>7625.5558600000004</v>
      </c>
      <c r="G19" s="300">
        <f t="shared" si="3"/>
        <v>3.768830191822229E-2</v>
      </c>
      <c r="H19" s="300">
        <f t="shared" ref="H19" si="6">(E19-I19)/I19</f>
        <v>-9.3200729267874718E-2</v>
      </c>
      <c r="I19" s="306">
        <v>762.23925239700009</v>
      </c>
      <c r="J19" s="129">
        <v>8326.776420000002</v>
      </c>
      <c r="K19" s="300">
        <f t="shared" si="5"/>
        <v>4.6282039337359367E-2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33"/>
      <c r="B20" s="433"/>
      <c r="C20" s="311" t="s">
        <v>0</v>
      </c>
      <c r="D20" s="314">
        <v>394832</v>
      </c>
      <c r="E20" s="312">
        <v>18339.85515444</v>
      </c>
      <c r="F20" s="312">
        <v>202332.16865399701</v>
      </c>
      <c r="G20" s="313">
        <f>SUM(G14:G19)</f>
        <v>1</v>
      </c>
      <c r="H20" s="313">
        <f>(E20-I20)/I20</f>
        <v>0.11356886309651508</v>
      </c>
      <c r="I20" s="314">
        <v>16469.439620862002</v>
      </c>
      <c r="J20" s="312">
        <v>179913.75930000702</v>
      </c>
      <c r="K20" s="313">
        <f>SUM(K14:K19)</f>
        <v>0.99999999999999989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31" t="str">
        <f>'3.1'!F5</f>
        <v>Září</v>
      </c>
      <c r="B21" s="431"/>
      <c r="C21" s="163" t="s">
        <v>4</v>
      </c>
      <c r="D21" s="305">
        <v>126</v>
      </c>
      <c r="E21" s="301">
        <v>6611.8445946820002</v>
      </c>
      <c r="F21" s="301">
        <v>73206.065390000003</v>
      </c>
      <c r="G21" s="302">
        <f>E21/$E$27</f>
        <v>0.26693694784632299</v>
      </c>
      <c r="H21" s="302">
        <f>(E21-I21)/I21</f>
        <v>-7.6173114014555607E-2</v>
      </c>
      <c r="I21" s="305">
        <v>7157.0168556300005</v>
      </c>
      <c r="J21" s="301">
        <v>78235.518939999994</v>
      </c>
      <c r="K21" s="302">
        <f>I21/$I$27</f>
        <v>0.28841926979922389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2"/>
      <c r="B22" s="432"/>
      <c r="C22" s="153" t="s">
        <v>5</v>
      </c>
      <c r="D22" s="306">
        <v>1324</v>
      </c>
      <c r="E22" s="129">
        <v>4467.8854055410002</v>
      </c>
      <c r="F22" s="129">
        <v>49468.239379999999</v>
      </c>
      <c r="G22" s="300">
        <f t="shared" ref="G22:G26" si="7">E22/$E$27</f>
        <v>0.18037987378613007</v>
      </c>
      <c r="H22" s="300">
        <f t="shared" ref="H22:H26" si="8">(E22-I22)/I22</f>
        <v>1.359629364346707E-2</v>
      </c>
      <c r="I22" s="306">
        <v>4407.9535743770002</v>
      </c>
      <c r="J22" s="129">
        <v>48184.577729999997</v>
      </c>
      <c r="K22" s="300">
        <f t="shared" ref="K22:K26" si="9">I22/$I$27</f>
        <v>0.17763528812016233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2"/>
      <c r="B23" s="432"/>
      <c r="C23" s="153" t="s">
        <v>6</v>
      </c>
      <c r="D23" s="306">
        <v>37342</v>
      </c>
      <c r="E23" s="129">
        <v>5143.207432569</v>
      </c>
      <c r="F23" s="129">
        <v>56945.373624365995</v>
      </c>
      <c r="G23" s="300">
        <f t="shared" si="7"/>
        <v>0.20764433805578922</v>
      </c>
      <c r="H23" s="300">
        <f t="shared" si="8"/>
        <v>8.1634294484959347E-2</v>
      </c>
      <c r="I23" s="306">
        <v>4755.0336179180003</v>
      </c>
      <c r="J23" s="129">
        <v>51978.607103121001</v>
      </c>
      <c r="K23" s="300">
        <f t="shared" si="9"/>
        <v>0.19162220120689505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2"/>
      <c r="B24" s="432"/>
      <c r="C24" s="153" t="s">
        <v>7</v>
      </c>
      <c r="D24" s="306">
        <v>355531</v>
      </c>
      <c r="E24" s="129">
        <v>6703.5473441240001</v>
      </c>
      <c r="F24" s="129">
        <v>74221.394376641998</v>
      </c>
      <c r="G24" s="300">
        <f t="shared" si="7"/>
        <v>0.27063922059254758</v>
      </c>
      <c r="H24" s="300">
        <f t="shared" si="8"/>
        <v>3.2756086591483775E-2</v>
      </c>
      <c r="I24" s="306">
        <v>6490.9298828230003</v>
      </c>
      <c r="J24" s="129">
        <v>70954.176399888995</v>
      </c>
      <c r="K24" s="300">
        <f t="shared" si="9"/>
        <v>0.26157675675293324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2"/>
      <c r="B25" s="432"/>
      <c r="C25" s="153" t="s">
        <v>90</v>
      </c>
      <c r="D25" s="306">
        <v>41</v>
      </c>
      <c r="E25" s="129">
        <v>1102.489722609</v>
      </c>
      <c r="F25" s="129">
        <v>12206.719859999999</v>
      </c>
      <c r="G25" s="300">
        <f t="shared" si="7"/>
        <v>4.4510308336933924E-2</v>
      </c>
      <c r="H25" s="300">
        <f t="shared" si="8"/>
        <v>-5.6427585266794117E-2</v>
      </c>
      <c r="I25" s="306">
        <v>1168.4208921269999</v>
      </c>
      <c r="J25" s="129">
        <v>12772.336719999999</v>
      </c>
      <c r="K25" s="300">
        <f t="shared" si="9"/>
        <v>4.7085972734622387E-2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2"/>
      <c r="B26" s="432"/>
      <c r="C26" s="153" t="s">
        <v>91</v>
      </c>
      <c r="D26" s="306"/>
      <c r="E26" s="129">
        <v>740.33768459600003</v>
      </c>
      <c r="F26" s="129">
        <v>8196.9877199999992</v>
      </c>
      <c r="G26" s="300">
        <f t="shared" si="7"/>
        <v>2.9889311382276185E-2</v>
      </c>
      <c r="H26" s="300">
        <f t="shared" si="8"/>
        <v>-0.11365789701763378</v>
      </c>
      <c r="I26" s="306">
        <v>835.27306454799998</v>
      </c>
      <c r="J26" s="129">
        <v>9130.6043099999988</v>
      </c>
      <c r="K26" s="300">
        <f t="shared" si="9"/>
        <v>3.3660511386163001E-2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33"/>
      <c r="B27" s="433"/>
      <c r="C27" s="311" t="s">
        <v>0</v>
      </c>
      <c r="D27" s="314">
        <v>394364</v>
      </c>
      <c r="E27" s="312">
        <v>24769.312184121001</v>
      </c>
      <c r="F27" s="312">
        <v>274244.780351008</v>
      </c>
      <c r="G27" s="313">
        <f>SUM(G21:G26)</f>
        <v>1</v>
      </c>
      <c r="H27" s="313">
        <f>(E27-I27)/I27</f>
        <v>-1.8261689640315382E-3</v>
      </c>
      <c r="I27" s="314">
        <v>24814.627887423005</v>
      </c>
      <c r="J27" s="312">
        <v>271255.82120300998</v>
      </c>
      <c r="K27" s="313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1" t="str">
        <f>'3.1'!G5</f>
        <v>III. čtvrtletí</v>
      </c>
      <c r="B28" s="501"/>
      <c r="C28" s="163" t="s">
        <v>4</v>
      </c>
      <c r="D28" s="305">
        <f>D21</f>
        <v>126</v>
      </c>
      <c r="E28" s="301">
        <f>E7+E14+E21</f>
        <v>19237.903900075999</v>
      </c>
      <c r="F28" s="301">
        <f>F7+F14+F21</f>
        <v>212051.08110000001</v>
      </c>
      <c r="G28" s="302">
        <f>E28/$E$34</f>
        <v>0.31393093232411412</v>
      </c>
      <c r="H28" s="302">
        <f>(E28-I28)/I28</f>
        <v>-2.0249452213312064E-2</v>
      </c>
      <c r="I28" s="305">
        <f>I7+I14+I21</f>
        <v>19635.512267419002</v>
      </c>
      <c r="J28" s="301">
        <f>J7+J14+J21</f>
        <v>214463.30872999999</v>
      </c>
      <c r="K28" s="302">
        <f>I28/$I$34</f>
        <v>0.3292344597249543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502"/>
      <c r="B29" s="502"/>
      <c r="C29" s="153" t="s">
        <v>5</v>
      </c>
      <c r="D29" s="306">
        <f t="shared" ref="D29:D32" si="10">D22</f>
        <v>1324</v>
      </c>
      <c r="E29" s="129">
        <f>E8+E15+E22</f>
        <v>10229.558353897999</v>
      </c>
      <c r="F29" s="129">
        <f t="shared" ref="F29" si="11">F8+F15+F22</f>
        <v>112832.13889</v>
      </c>
      <c r="G29" s="300">
        <f t="shared" ref="G29:G33" si="12">E29/$E$34</f>
        <v>0.16692955781375135</v>
      </c>
      <c r="H29" s="300">
        <f t="shared" ref="H29:H31" si="13">(E29-I29)/I29</f>
        <v>1.9714294748199131E-2</v>
      </c>
      <c r="I29" s="306">
        <f>I8+I15+I22</f>
        <v>10031.788714332</v>
      </c>
      <c r="J29" s="129">
        <f t="shared" ref="J29" si="14">J8+J15+J22</f>
        <v>109584.71831</v>
      </c>
      <c r="K29" s="300">
        <f t="shared" ref="K29:K33" si="15">I29/$I$34</f>
        <v>0.16820597764176026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502"/>
      <c r="B30" s="502"/>
      <c r="C30" s="153" t="s">
        <v>6</v>
      </c>
      <c r="D30" s="306">
        <f t="shared" si="10"/>
        <v>37342</v>
      </c>
      <c r="E30" s="129">
        <f t="shared" ref="E30:F33" si="16">E9+E16+E23</f>
        <v>11301.357449828</v>
      </c>
      <c r="F30" s="129">
        <f t="shared" si="16"/>
        <v>124671.26474332499</v>
      </c>
      <c r="G30" s="300">
        <f t="shared" si="12"/>
        <v>0.1844195552270412</v>
      </c>
      <c r="H30" s="300">
        <f t="shared" si="13"/>
        <v>0.15776281731778563</v>
      </c>
      <c r="I30" s="306">
        <f t="shared" ref="I30:J32" si="17">I9+I16+I23</f>
        <v>9761.3753704840001</v>
      </c>
      <c r="J30" s="129">
        <f t="shared" si="17"/>
        <v>106636.754913311</v>
      </c>
      <c r="K30" s="300">
        <f t="shared" si="15"/>
        <v>0.16367187687821971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502"/>
      <c r="B31" s="502"/>
      <c r="C31" s="153" t="s">
        <v>7</v>
      </c>
      <c r="D31" s="306">
        <f t="shared" si="10"/>
        <v>355531</v>
      </c>
      <c r="E31" s="129">
        <f>E10+E17+E24</f>
        <v>15047.296917787</v>
      </c>
      <c r="F31" s="129">
        <f t="shared" si="16"/>
        <v>165985.525880684</v>
      </c>
      <c r="G31" s="300">
        <f t="shared" si="12"/>
        <v>0.24554712274760768</v>
      </c>
      <c r="H31" s="300">
        <f t="shared" si="13"/>
        <v>4.8448424520497885E-2</v>
      </c>
      <c r="I31" s="306">
        <f>I10+I17+I24</f>
        <v>14351.966740442</v>
      </c>
      <c r="J31" s="129">
        <f t="shared" si="17"/>
        <v>156779.43236971</v>
      </c>
      <c r="K31" s="300">
        <f t="shared" si="15"/>
        <v>0.24064368433210406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502"/>
      <c r="B32" s="502"/>
      <c r="C32" s="153" t="s">
        <v>90</v>
      </c>
      <c r="D32" s="306">
        <f t="shared" si="10"/>
        <v>41</v>
      </c>
      <c r="E32" s="129">
        <f>E11+E18+E25</f>
        <v>3354.6317974519998</v>
      </c>
      <c r="F32" s="129">
        <f t="shared" si="16"/>
        <v>36974.014579999995</v>
      </c>
      <c r="G32" s="300">
        <f t="shared" si="12"/>
        <v>5.4742070302891195E-2</v>
      </c>
      <c r="H32" s="300">
        <f>(E32-I32)/I32</f>
        <v>-3.8567111337892736E-2</v>
      </c>
      <c r="I32" s="306">
        <f>I11+I18+I25</f>
        <v>3489.2001688440005</v>
      </c>
      <c r="J32" s="129">
        <f t="shared" si="17"/>
        <v>38110.337570000003</v>
      </c>
      <c r="K32" s="300">
        <f t="shared" si="15"/>
        <v>5.8504454419949482E-2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502"/>
      <c r="B33" s="502"/>
      <c r="C33" s="153" t="s">
        <v>91</v>
      </c>
      <c r="D33" s="306"/>
      <c r="E33" s="129">
        <f t="shared" si="16"/>
        <v>2109.9408002489999</v>
      </c>
      <c r="F33" s="129">
        <f t="shared" si="16"/>
        <v>23259.223339999997</v>
      </c>
      <c r="G33" s="300">
        <f t="shared" si="12"/>
        <v>3.4430761584594426E-2</v>
      </c>
      <c r="H33" s="300">
        <f t="shared" ref="H33" si="18">(E33-I33)/I33</f>
        <v>-0.1097532294413706</v>
      </c>
      <c r="I33" s="306">
        <f t="shared" ref="I33:J33" si="19">I12+I19+I26</f>
        <v>2370.062852264</v>
      </c>
      <c r="J33" s="129">
        <f t="shared" si="19"/>
        <v>25887.174739999999</v>
      </c>
      <c r="K33" s="300">
        <f t="shared" si="15"/>
        <v>3.9739547003012313E-2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503"/>
      <c r="B34" s="503"/>
      <c r="C34" s="311" t="s">
        <v>0</v>
      </c>
      <c r="D34" s="314">
        <f>SUM(D28:D33)</f>
        <v>394364</v>
      </c>
      <c r="E34" s="312">
        <f>SUM(E28:E33)</f>
        <v>61280.689219289998</v>
      </c>
      <c r="F34" s="312">
        <f>SUM(F28:F33)</f>
        <v>675773.24853400898</v>
      </c>
      <c r="G34" s="313">
        <f>SUM(G28:G33)</f>
        <v>1</v>
      </c>
      <c r="H34" s="313">
        <f>(E34-I34)/I34</f>
        <v>2.7511497123664297E-2</v>
      </c>
      <c r="I34" s="314">
        <f>SUM(I28:I33)</f>
        <v>59639.906113784993</v>
      </c>
      <c r="J34" s="312">
        <f>SUM(J28:J33)</f>
        <v>651461.72663302103</v>
      </c>
      <c r="K34" s="313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296"/>
      <c r="C35" s="101"/>
      <c r="D35" s="88"/>
      <c r="E35" s="88"/>
      <c r="F35" s="88"/>
      <c r="G35" s="485" t="s">
        <v>258</v>
      </c>
      <c r="H35" s="485"/>
      <c r="I35" s="485"/>
      <c r="J35" s="485"/>
      <c r="K35" s="485"/>
    </row>
    <row r="36" spans="1:20" ht="15" customHeight="1">
      <c r="A36" s="477" t="s">
        <v>257</v>
      </c>
      <c r="B36" s="477"/>
      <c r="C36" s="477"/>
      <c r="D36" s="477"/>
      <c r="E36" s="477"/>
      <c r="F36" s="119"/>
      <c r="G36" s="485"/>
      <c r="H36" s="485"/>
      <c r="I36" s="485"/>
      <c r="J36" s="485"/>
      <c r="K36" s="485"/>
      <c r="M36" s="93"/>
      <c r="N36" s="93"/>
      <c r="O36" s="93"/>
      <c r="P36" s="93"/>
      <c r="Q36" s="93"/>
      <c r="R36" s="93"/>
      <c r="S36" s="93"/>
    </row>
    <row r="37" spans="1:20" ht="15" customHeight="1">
      <c r="A37" s="478" t="str">
        <f>A28</f>
        <v>III. čtvrtletí</v>
      </c>
      <c r="B37" s="479"/>
      <c r="C37" s="479"/>
      <c r="D37" s="479"/>
      <c r="E37" s="479"/>
      <c r="F37" s="125"/>
      <c r="G37" s="480" t="str">
        <f>A28</f>
        <v>III. čtvrtletí</v>
      </c>
      <c r="H37" s="480"/>
      <c r="I37" s="480"/>
      <c r="J37" s="480"/>
      <c r="K37" s="48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2025</v>
      </c>
      <c r="D41" s="94">
        <f>I3</f>
        <v>2024</v>
      </c>
      <c r="E41" s="76"/>
      <c r="F41" s="76"/>
      <c r="G41" s="76"/>
      <c r="H41" s="94"/>
      <c r="I41" s="94">
        <f>D3</f>
        <v>2025</v>
      </c>
      <c r="J41" s="94">
        <f>I3</f>
        <v>2024</v>
      </c>
      <c r="K41" s="94"/>
    </row>
    <row r="42" spans="1:20" ht="15" customHeight="1">
      <c r="A42" s="94"/>
      <c r="B42" s="94" t="str">
        <f>A7</f>
        <v>Červenec</v>
      </c>
      <c r="C42" s="78">
        <f>E13</f>
        <v>18171.521880729</v>
      </c>
      <c r="D42" s="78">
        <f>I13</f>
        <v>18355.838605499997</v>
      </c>
      <c r="E42" s="76"/>
      <c r="F42" s="76"/>
      <c r="G42" s="76"/>
      <c r="H42" s="94" t="str">
        <f>A7</f>
        <v>Červenec</v>
      </c>
      <c r="I42" s="95">
        <f>E13/E34</f>
        <v>0.29652933268591486</v>
      </c>
      <c r="J42" s="95">
        <f>I13/I34</f>
        <v>0.30777779177719533</v>
      </c>
      <c r="K42" s="94"/>
    </row>
    <row r="43" spans="1:20" ht="15" customHeight="1">
      <c r="A43" s="94"/>
      <c r="B43" s="94" t="str">
        <f>A14</f>
        <v>Srpen</v>
      </c>
      <c r="C43" s="78">
        <f>E20</f>
        <v>18339.85515444</v>
      </c>
      <c r="D43" s="78">
        <f>I20</f>
        <v>16469.439620862002</v>
      </c>
      <c r="E43" s="76"/>
      <c r="F43" s="76"/>
      <c r="G43" s="76"/>
      <c r="H43" s="94" t="str">
        <f>A14</f>
        <v>Srpen</v>
      </c>
      <c r="I43" s="95">
        <f>E20/E34</f>
        <v>0.29927625469112645</v>
      </c>
      <c r="J43" s="95">
        <f>I20/I34</f>
        <v>0.27614798033787152</v>
      </c>
      <c r="K43" s="94"/>
    </row>
    <row r="44" spans="1:20" ht="15" customHeight="1">
      <c r="A44" s="94"/>
      <c r="B44" s="94" t="str">
        <f>A21</f>
        <v>Září</v>
      </c>
      <c r="C44" s="78">
        <f>E27</f>
        <v>24769.312184121001</v>
      </c>
      <c r="D44" s="78">
        <f>I27</f>
        <v>24814.627887423005</v>
      </c>
      <c r="E44" s="76"/>
      <c r="F44" s="76"/>
      <c r="G44" s="76"/>
      <c r="H44" s="94" t="str">
        <f>A21</f>
        <v>Září</v>
      </c>
      <c r="I44" s="95">
        <f>E27/E34</f>
        <v>0.40419441262295874</v>
      </c>
      <c r="J44" s="95">
        <f>I27/I34</f>
        <v>0.41607422788493331</v>
      </c>
      <c r="K44" s="94"/>
    </row>
    <row r="45" spans="1:20" ht="15" customHeight="1">
      <c r="A45" s="94"/>
      <c r="B45" s="94"/>
      <c r="C45" s="78">
        <f>SUM(C42:C44)</f>
        <v>61280.689219290005</v>
      </c>
      <c r="D45" s="78">
        <f>SUM(D42:D44)</f>
        <v>59639.906113785008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284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86"/>
      <c r="B2" s="486"/>
      <c r="C2" s="486"/>
      <c r="D2" s="308"/>
      <c r="E2" s="308"/>
      <c r="F2" s="309"/>
      <c r="G2" s="310"/>
      <c r="H2" s="310"/>
      <c r="I2" s="310"/>
      <c r="J2" s="275"/>
      <c r="K2" s="275"/>
    </row>
    <row r="3" spans="1:21" ht="15" customHeight="1">
      <c r="A3" s="497" t="s">
        <v>85</v>
      </c>
      <c r="B3" s="497"/>
      <c r="C3" s="497"/>
      <c r="D3" s="334">
        <f>'3.1'!A4</f>
        <v>2025</v>
      </c>
      <c r="E3" s="492"/>
      <c r="F3" s="492"/>
      <c r="G3" s="492"/>
      <c r="H3" s="333"/>
      <c r="I3" s="491">
        <f>D3-1</f>
        <v>2024</v>
      </c>
      <c r="J3" s="492"/>
      <c r="K3" s="492"/>
    </row>
    <row r="4" spans="1:21" ht="50.1" customHeight="1">
      <c r="A4" s="498"/>
      <c r="B4" s="498"/>
      <c r="C4" s="498"/>
      <c r="D4" s="336"/>
      <c r="E4" s="494"/>
      <c r="F4" s="494"/>
      <c r="G4" s="494"/>
      <c r="H4" s="173"/>
      <c r="I4" s="493"/>
      <c r="J4" s="494"/>
      <c r="K4" s="494"/>
    </row>
    <row r="5" spans="1:21" ht="24.95" customHeight="1">
      <c r="A5" s="497" t="s">
        <v>155</v>
      </c>
      <c r="B5" s="497"/>
      <c r="C5" s="499" t="s">
        <v>180</v>
      </c>
      <c r="D5" s="495" t="s">
        <v>156</v>
      </c>
      <c r="E5" s="489" t="s">
        <v>59</v>
      </c>
      <c r="F5" s="489"/>
      <c r="G5" s="490" t="s">
        <v>32</v>
      </c>
      <c r="H5" s="490" t="s">
        <v>256</v>
      </c>
      <c r="I5" s="487" t="s">
        <v>59</v>
      </c>
      <c r="J5" s="488"/>
      <c r="K5" s="490" t="s">
        <v>32</v>
      </c>
    </row>
    <row r="6" spans="1:21" ht="22.5" customHeight="1">
      <c r="A6" s="498"/>
      <c r="B6" s="498"/>
      <c r="C6" s="500"/>
      <c r="D6" s="496"/>
      <c r="E6" s="218" t="s">
        <v>247</v>
      </c>
      <c r="F6" s="218" t="s">
        <v>248</v>
      </c>
      <c r="G6" s="476"/>
      <c r="H6" s="476"/>
      <c r="I6" s="220" t="s">
        <v>247</v>
      </c>
      <c r="J6" s="218" t="s">
        <v>248</v>
      </c>
      <c r="K6" s="476"/>
    </row>
    <row r="7" spans="1:21" ht="12.95" customHeight="1">
      <c r="A7" s="431" t="str">
        <f>'3.1'!D5</f>
        <v>Červenec</v>
      </c>
      <c r="B7" s="431"/>
      <c r="C7" s="163" t="s">
        <v>4</v>
      </c>
      <c r="D7" s="305">
        <v>1203</v>
      </c>
      <c r="E7" s="301">
        <v>173412.26500000001</v>
      </c>
      <c r="F7" s="301">
        <v>1905225.22588</v>
      </c>
      <c r="G7" s="302">
        <f t="shared" ref="G7:G12" si="0">E7/$E$13</f>
        <v>0.74974756671556964</v>
      </c>
      <c r="H7" s="302">
        <f>(E7-I7)/I7</f>
        <v>5.759217219723267E-3</v>
      </c>
      <c r="I7" s="305">
        <v>172419.26499999998</v>
      </c>
      <c r="J7" s="301">
        <v>1882461.7430700001</v>
      </c>
      <c r="K7" s="302">
        <f>I7/$I$13</f>
        <v>0.76282153842006339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2"/>
      <c r="B8" s="432"/>
      <c r="C8" s="153" t="s">
        <v>5</v>
      </c>
      <c r="D8" s="306">
        <v>3858</v>
      </c>
      <c r="E8" s="129">
        <v>16612.460999999999</v>
      </c>
      <c r="F8" s="129">
        <v>182515.11819999997</v>
      </c>
      <c r="G8" s="300">
        <f t="shared" si="0"/>
        <v>7.1823940549460549E-2</v>
      </c>
      <c r="H8" s="300">
        <f t="shared" ref="H8:H11" si="1">(E8-I8)/I8</f>
        <v>4.5107216456320459E-2</v>
      </c>
      <c r="I8" s="306">
        <v>15895.460999999999</v>
      </c>
      <c r="J8" s="129">
        <v>173545.29384999999</v>
      </c>
      <c r="K8" s="300">
        <f t="shared" ref="K8:K12" si="2">I8/$I$13</f>
        <v>7.0325088173390143E-2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2"/>
      <c r="B9" s="432"/>
      <c r="C9" s="153" t="s">
        <v>6</v>
      </c>
      <c r="D9" s="306">
        <v>151605</v>
      </c>
      <c r="E9" s="129">
        <v>11769.937999999998</v>
      </c>
      <c r="F9" s="129">
        <v>129316.1856</v>
      </c>
      <c r="G9" s="300">
        <f t="shared" si="0"/>
        <v>5.0887302440188513E-2</v>
      </c>
      <c r="H9" s="300">
        <f t="shared" si="1"/>
        <v>5.3004518638859556E-2</v>
      </c>
      <c r="I9" s="306">
        <v>11177.481</v>
      </c>
      <c r="J9" s="129">
        <v>122033.79725999999</v>
      </c>
      <c r="K9" s="300">
        <f t="shared" si="2"/>
        <v>4.945168541392999E-2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2"/>
      <c r="B10" s="432"/>
      <c r="C10" s="153" t="s">
        <v>7</v>
      </c>
      <c r="D10" s="306">
        <v>2037488</v>
      </c>
      <c r="E10" s="129">
        <v>24494.5</v>
      </c>
      <c r="F10" s="129">
        <v>269112.8</v>
      </c>
      <c r="G10" s="300">
        <f t="shared" si="0"/>
        <v>0.10590191975702826</v>
      </c>
      <c r="H10" s="300">
        <f t="shared" si="1"/>
        <v>9.3807214496869532E-2</v>
      </c>
      <c r="I10" s="306">
        <v>22393.800000000003</v>
      </c>
      <c r="J10" s="129">
        <v>244494.80000000002</v>
      </c>
      <c r="K10" s="300">
        <f t="shared" si="2"/>
        <v>9.907519885942688E-2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2"/>
      <c r="B11" s="432"/>
      <c r="C11" s="153" t="s">
        <v>90</v>
      </c>
      <c r="D11" s="306">
        <v>216</v>
      </c>
      <c r="E11" s="129">
        <v>5993.6170000000002</v>
      </c>
      <c r="F11" s="129">
        <v>65850.020669999998</v>
      </c>
      <c r="G11" s="300">
        <f t="shared" si="0"/>
        <v>2.5913390621909428E-2</v>
      </c>
      <c r="H11" s="300">
        <f t="shared" si="1"/>
        <v>-2.6359184006318672E-2</v>
      </c>
      <c r="I11" s="306">
        <v>6155.8810000000012</v>
      </c>
      <c r="J11" s="129">
        <v>67209.458749999991</v>
      </c>
      <c r="K11" s="300">
        <f t="shared" si="2"/>
        <v>2.72349996083723E-2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2"/>
      <c r="B12" s="432"/>
      <c r="C12" s="153" t="s">
        <v>91</v>
      </c>
      <c r="D12" s="306"/>
      <c r="E12" s="129">
        <v>-988.57919329099991</v>
      </c>
      <c r="F12" s="129">
        <v>-10861.214999999998</v>
      </c>
      <c r="G12" s="300">
        <f t="shared" si="0"/>
        <v>-4.2741200841564927E-3</v>
      </c>
      <c r="H12" s="300">
        <f>(E12-I12)/I12</f>
        <v>-0.5090429190797473</v>
      </c>
      <c r="I12" s="306">
        <v>-2013.5755888029998</v>
      </c>
      <c r="J12" s="129">
        <v>-21984.074910000003</v>
      </c>
      <c r="K12" s="300">
        <f t="shared" si="2"/>
        <v>-8.908510475182629E-3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33"/>
      <c r="B13" s="433"/>
      <c r="C13" s="311" t="s">
        <v>0</v>
      </c>
      <c r="D13" s="314">
        <v>2194370</v>
      </c>
      <c r="E13" s="312">
        <v>231294.20180670902</v>
      </c>
      <c r="F13" s="312">
        <v>2541158.1353500001</v>
      </c>
      <c r="G13" s="313">
        <f>SUM(G7:G12)</f>
        <v>0.99999999999999978</v>
      </c>
      <c r="H13" s="313">
        <f>(E13-I13)/I13</f>
        <v>2.3297476937014009E-2</v>
      </c>
      <c r="I13" s="314">
        <v>226028.31241119697</v>
      </c>
      <c r="J13" s="312">
        <v>2467761.0180200003</v>
      </c>
      <c r="K13" s="313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31" t="str">
        <f>'3.1'!E5</f>
        <v>Srpen</v>
      </c>
      <c r="B14" s="431"/>
      <c r="C14" s="163" t="s">
        <v>4</v>
      </c>
      <c r="D14" s="305">
        <v>1208</v>
      </c>
      <c r="E14" s="301">
        <v>166426.758</v>
      </c>
      <c r="F14" s="301">
        <v>1833623.5688400001</v>
      </c>
      <c r="G14" s="302">
        <f>E14/$E$20</f>
        <v>0.73575669679014577</v>
      </c>
      <c r="H14" s="302">
        <f>(E14-I14)/I14</f>
        <v>-3.2355515241450444E-2</v>
      </c>
      <c r="I14" s="305">
        <v>171991.636</v>
      </c>
      <c r="J14" s="301">
        <v>1879238.2007899999</v>
      </c>
      <c r="K14" s="302">
        <f>I14/$I$20</f>
        <v>0.75975705460475962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2"/>
      <c r="B15" s="432"/>
      <c r="C15" s="153" t="s">
        <v>5</v>
      </c>
      <c r="D15" s="306">
        <v>3862</v>
      </c>
      <c r="E15" s="129">
        <v>16992.953999999998</v>
      </c>
      <c r="F15" s="129">
        <v>187221.74142000001</v>
      </c>
      <c r="G15" s="300">
        <f t="shared" ref="G15:G19" si="3">E15/$E$20</f>
        <v>7.5124215925343518E-2</v>
      </c>
      <c r="H15" s="300">
        <f t="shared" ref="H15:H17" si="4">(E15-I15)/I15</f>
        <v>2.6132296244283891E-2</v>
      </c>
      <c r="I15" s="306">
        <v>16560.198</v>
      </c>
      <c r="J15" s="129">
        <v>180940.80994000001</v>
      </c>
      <c r="K15" s="300">
        <f t="shared" ref="K15:K19" si="5">I15/$I$20</f>
        <v>7.3153134354461469E-2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2"/>
      <c r="B16" s="432"/>
      <c r="C16" s="153" t="s">
        <v>6</v>
      </c>
      <c r="D16" s="306">
        <v>151530</v>
      </c>
      <c r="E16" s="129">
        <v>12584.455000000002</v>
      </c>
      <c r="F16" s="129">
        <v>138651.07790999999</v>
      </c>
      <c r="G16" s="300">
        <f t="shared" si="3"/>
        <v>5.563466568100927E-2</v>
      </c>
      <c r="H16" s="300">
        <f t="shared" si="4"/>
        <v>9.1738362180996666E-2</v>
      </c>
      <c r="I16" s="306">
        <v>11526.987999999999</v>
      </c>
      <c r="J16" s="129">
        <v>125948.84970000002</v>
      </c>
      <c r="K16" s="300">
        <f>I16/$I$20</f>
        <v>5.0919397332463354E-2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2"/>
      <c r="B17" s="432"/>
      <c r="C17" s="153" t="s">
        <v>7</v>
      </c>
      <c r="D17" s="306">
        <v>2035792</v>
      </c>
      <c r="E17" s="129">
        <v>25620.899999999998</v>
      </c>
      <c r="F17" s="129">
        <v>282280.90000000002</v>
      </c>
      <c r="G17" s="300">
        <f t="shared" si="3"/>
        <v>0.11326753569753875</v>
      </c>
      <c r="H17" s="300">
        <f t="shared" si="4"/>
        <v>0.14380039107492026</v>
      </c>
      <c r="I17" s="306">
        <v>22399.8</v>
      </c>
      <c r="J17" s="129">
        <v>244747.49999999997</v>
      </c>
      <c r="K17" s="300">
        <f>I17/$I$20</f>
        <v>9.8949033031674252E-2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2"/>
      <c r="B18" s="432"/>
      <c r="C18" s="153" t="s">
        <v>90</v>
      </c>
      <c r="D18" s="306">
        <v>215</v>
      </c>
      <c r="E18" s="129">
        <v>5784.86</v>
      </c>
      <c r="F18" s="129">
        <v>63735.295589999994</v>
      </c>
      <c r="G18" s="300">
        <f t="shared" si="3"/>
        <v>2.5574309901496981E-2</v>
      </c>
      <c r="H18" s="300">
        <f>(E18-I18)/I18</f>
        <v>-4.8541824218905343E-2</v>
      </c>
      <c r="I18" s="306">
        <v>6079.9939999999988</v>
      </c>
      <c r="J18" s="129">
        <v>66432.063439999998</v>
      </c>
      <c r="K18" s="300">
        <f>I18/$I$20</f>
        <v>2.685780797767753E-2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2"/>
      <c r="B19" s="432"/>
      <c r="C19" s="153" t="s">
        <v>91</v>
      </c>
      <c r="D19" s="306"/>
      <c r="E19" s="129">
        <v>-1211.8390640520001</v>
      </c>
      <c r="F19" s="129">
        <v>-13351.563259999999</v>
      </c>
      <c r="G19" s="300">
        <f t="shared" si="3"/>
        <v>-5.3574239955341881E-3</v>
      </c>
      <c r="H19" s="300">
        <f t="shared" ref="H19" si="6">(E19-I19)/I19</f>
        <v>-0.44448433203887849</v>
      </c>
      <c r="I19" s="306">
        <v>-2181.4669395370001</v>
      </c>
      <c r="J19" s="129">
        <v>-23835.433040000004</v>
      </c>
      <c r="K19" s="300">
        <f t="shared" si="5"/>
        <v>-9.6364273010362579E-3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33"/>
      <c r="B20" s="433"/>
      <c r="C20" s="311" t="s">
        <v>0</v>
      </c>
      <c r="D20" s="314">
        <v>2192607</v>
      </c>
      <c r="E20" s="312">
        <v>226198.08793594799</v>
      </c>
      <c r="F20" s="312">
        <v>2492161.0204999996</v>
      </c>
      <c r="G20" s="313">
        <f>SUM(G14:G19)</f>
        <v>1</v>
      </c>
      <c r="H20" s="313">
        <f>(E20-I20)/I20</f>
        <v>-7.9098586256687873E-4</v>
      </c>
      <c r="I20" s="314">
        <v>226377.14906046301</v>
      </c>
      <c r="J20" s="312">
        <v>2473471.99083</v>
      </c>
      <c r="K20" s="313">
        <f>SUM(K14:K19)</f>
        <v>0.99999999999999978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31" t="str">
        <f>'3.1'!F5</f>
        <v>Září</v>
      </c>
      <c r="B21" s="431"/>
      <c r="C21" s="163" t="s">
        <v>4</v>
      </c>
      <c r="D21" s="305">
        <v>1211</v>
      </c>
      <c r="E21" s="301">
        <v>189949.14200000002</v>
      </c>
      <c r="F21" s="301">
        <v>2100043.8633699999</v>
      </c>
      <c r="G21" s="302">
        <f>E21/$E$27</f>
        <v>0.67652382769978181</v>
      </c>
      <c r="H21" s="302">
        <f>(E21-I21)/I21</f>
        <v>5.1899628955429196E-3</v>
      </c>
      <c r="I21" s="305">
        <v>188968.40300000002</v>
      </c>
      <c r="J21" s="301">
        <v>2068346.8005300001</v>
      </c>
      <c r="K21" s="302">
        <f>I21/$I$27</f>
        <v>0.6888054934885568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2"/>
      <c r="B22" s="432"/>
      <c r="C22" s="153" t="s">
        <v>5</v>
      </c>
      <c r="D22" s="306">
        <v>3873</v>
      </c>
      <c r="E22" s="129">
        <v>23264.645</v>
      </c>
      <c r="F22" s="129">
        <v>257209.73480000001</v>
      </c>
      <c r="G22" s="300">
        <f t="shared" ref="G22:G26" si="7">E22/$E$27</f>
        <v>8.2859477646266957E-2</v>
      </c>
      <c r="H22" s="300">
        <f t="shared" ref="H22:H26" si="8">(E22-I22)/I22</f>
        <v>9.0570585486663122E-2</v>
      </c>
      <c r="I22" s="306">
        <v>21332.543999999998</v>
      </c>
      <c r="J22" s="129">
        <v>233493.91300999999</v>
      </c>
      <c r="K22" s="300">
        <f t="shared" ref="K22:K26" si="9">I22/$I$27</f>
        <v>7.7758891243243172E-2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2"/>
      <c r="B23" s="432"/>
      <c r="C23" s="153" t="s">
        <v>6</v>
      </c>
      <c r="D23" s="306">
        <v>151358</v>
      </c>
      <c r="E23" s="129">
        <v>20425.017</v>
      </c>
      <c r="F23" s="129">
        <v>225817.93605999998</v>
      </c>
      <c r="G23" s="300">
        <f t="shared" si="7"/>
        <v>7.274584415692234E-2</v>
      </c>
      <c r="H23" s="300">
        <f t="shared" si="8"/>
        <v>-4.6157932017946025E-2</v>
      </c>
      <c r="I23" s="306">
        <v>21413.415999999997</v>
      </c>
      <c r="J23" s="129">
        <v>234382.35034999999</v>
      </c>
      <c r="K23" s="300">
        <f t="shared" si="9"/>
        <v>7.8053676387135229E-2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2"/>
      <c r="B24" s="432"/>
      <c r="C24" s="153" t="s">
        <v>7</v>
      </c>
      <c r="D24" s="306">
        <v>2034582</v>
      </c>
      <c r="E24" s="129">
        <v>40131.599999999999</v>
      </c>
      <c r="F24" s="129">
        <v>443688.00000000006</v>
      </c>
      <c r="G24" s="300">
        <f t="shared" si="7"/>
        <v>0.14293291013505371</v>
      </c>
      <c r="H24" s="300">
        <f t="shared" si="8"/>
        <v>4.6524354242897741E-2</v>
      </c>
      <c r="I24" s="306">
        <v>38347.506999999998</v>
      </c>
      <c r="J24" s="129">
        <v>419728.95900000003</v>
      </c>
      <c r="K24" s="300">
        <f t="shared" si="9"/>
        <v>0.13977984183520289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2"/>
      <c r="B25" s="432"/>
      <c r="C25" s="153" t="s">
        <v>90</v>
      </c>
      <c r="D25" s="306">
        <v>215</v>
      </c>
      <c r="E25" s="129">
        <v>6073.7540000000017</v>
      </c>
      <c r="F25" s="129">
        <v>67150.399160000001</v>
      </c>
      <c r="G25" s="300">
        <f t="shared" si="7"/>
        <v>2.1632313056654192E-2</v>
      </c>
      <c r="H25" s="300">
        <f t="shared" si="8"/>
        <v>-5.0733630011776175E-4</v>
      </c>
      <c r="I25" s="306">
        <v>6076.8370000000004</v>
      </c>
      <c r="J25" s="129">
        <v>66513.797619999998</v>
      </c>
      <c r="K25" s="300">
        <f t="shared" si="9"/>
        <v>2.2150574604975208E-2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2"/>
      <c r="B26" s="432"/>
      <c r="C26" s="153" t="s">
        <v>91</v>
      </c>
      <c r="D26" s="306"/>
      <c r="E26" s="129">
        <v>928.12853695399997</v>
      </c>
      <c r="F26" s="129">
        <v>10261.232960000001</v>
      </c>
      <c r="G26" s="300">
        <f t="shared" si="7"/>
        <v>3.3056273053211176E-3</v>
      </c>
      <c r="H26" s="300">
        <f t="shared" si="8"/>
        <v>-1.516624730551557</v>
      </c>
      <c r="I26" s="306">
        <v>-1796.5236313079999</v>
      </c>
      <c r="J26" s="129">
        <v>-19663.781730000002</v>
      </c>
      <c r="K26" s="300">
        <f t="shared" si="9"/>
        <v>-6.5484775591132067E-3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33"/>
      <c r="B27" s="433"/>
      <c r="C27" s="311" t="s">
        <v>0</v>
      </c>
      <c r="D27" s="314">
        <v>2191239</v>
      </c>
      <c r="E27" s="312">
        <v>280772.28653695399</v>
      </c>
      <c r="F27" s="312">
        <v>3104171.1663500005</v>
      </c>
      <c r="G27" s="313">
        <f>SUM(G21:G26)</f>
        <v>1</v>
      </c>
      <c r="H27" s="313">
        <f>(E27-I27)/I27</f>
        <v>2.343825907232245E-2</v>
      </c>
      <c r="I27" s="314">
        <v>274342.183368692</v>
      </c>
      <c r="J27" s="312">
        <v>3002802.0387799996</v>
      </c>
      <c r="K27" s="313">
        <f>SUM(K21:K26)</f>
        <v>1.0000000000000002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1" t="str">
        <f>'3.1'!G5</f>
        <v>III. čtvrtletí</v>
      </c>
      <c r="B28" s="431"/>
      <c r="C28" s="163" t="s">
        <v>4</v>
      </c>
      <c r="D28" s="305">
        <f>D21</f>
        <v>1211</v>
      </c>
      <c r="E28" s="301">
        <f>E7+E14+E21</f>
        <v>529788.16500000004</v>
      </c>
      <c r="F28" s="301">
        <f>F7+F14+F21</f>
        <v>5838892.65809</v>
      </c>
      <c r="G28" s="302">
        <f>E28/$E$34</f>
        <v>0.71761287487176884</v>
      </c>
      <c r="H28" s="302">
        <f>(E28-I28)/I28</f>
        <v>-6.7328052908478923E-3</v>
      </c>
      <c r="I28" s="305">
        <f>I7+I14+I21</f>
        <v>533379.304</v>
      </c>
      <c r="J28" s="301">
        <f>J7+J14+J21</f>
        <v>5830046.7443899997</v>
      </c>
      <c r="K28" s="302">
        <f>I28/$I$34</f>
        <v>0.73392642932770702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2"/>
      <c r="B29" s="432"/>
      <c r="C29" s="153" t="s">
        <v>5</v>
      </c>
      <c r="D29" s="306">
        <f t="shared" ref="D29:D32" si="10">D22</f>
        <v>3873</v>
      </c>
      <c r="E29" s="129">
        <f>E8+E15+E22</f>
        <v>56870.06</v>
      </c>
      <c r="F29" s="129">
        <f t="shared" ref="F29" si="11">F8+F15+F22</f>
        <v>626946.59441999998</v>
      </c>
      <c r="G29" s="300">
        <f t="shared" ref="G29:G33" si="12">E29/$E$34</f>
        <v>7.7032085552024329E-2</v>
      </c>
      <c r="H29" s="300">
        <f t="shared" ref="H29:H31" si="13">(E29-I29)/I29</f>
        <v>5.7296150979425801E-2</v>
      </c>
      <c r="I29" s="306">
        <f>I8+I15+I22</f>
        <v>53788.202999999994</v>
      </c>
      <c r="J29" s="129">
        <f t="shared" ref="J29" si="14">J8+J15+J22</f>
        <v>587980.01679999998</v>
      </c>
      <c r="K29" s="300">
        <f t="shared" ref="K29:K33" si="15">I29/$I$34</f>
        <v>7.4012215081640756E-2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2"/>
      <c r="B30" s="432"/>
      <c r="C30" s="153" t="s">
        <v>6</v>
      </c>
      <c r="D30" s="306">
        <f t="shared" si="10"/>
        <v>151358</v>
      </c>
      <c r="E30" s="129">
        <f t="shared" ref="E30:F33" si="16">E9+E16+E23</f>
        <v>44779.41</v>
      </c>
      <c r="F30" s="129">
        <f t="shared" si="16"/>
        <v>493785.19956999994</v>
      </c>
      <c r="G30" s="300">
        <f t="shared" si="12"/>
        <v>6.0654962243563204E-2</v>
      </c>
      <c r="H30" s="300">
        <f t="shared" si="13"/>
        <v>1.4994485796406805E-2</v>
      </c>
      <c r="I30" s="306">
        <f t="shared" ref="I30:J32" si="17">I9+I16+I23</f>
        <v>44117.884999999995</v>
      </c>
      <c r="J30" s="129">
        <f t="shared" si="17"/>
        <v>482364.99731000001</v>
      </c>
      <c r="K30" s="300">
        <f t="shared" si="15"/>
        <v>6.0705920842291247E-2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2"/>
      <c r="B31" s="432"/>
      <c r="C31" s="153" t="s">
        <v>7</v>
      </c>
      <c r="D31" s="306">
        <f t="shared" si="10"/>
        <v>2034582</v>
      </c>
      <c r="E31" s="129">
        <f>E10+E17+E24</f>
        <v>90247</v>
      </c>
      <c r="F31" s="129">
        <f t="shared" si="16"/>
        <v>995081.7</v>
      </c>
      <c r="G31" s="300">
        <f t="shared" si="12"/>
        <v>0.12224208352889973</v>
      </c>
      <c r="H31" s="300">
        <f t="shared" si="13"/>
        <v>8.5467866094205314E-2</v>
      </c>
      <c r="I31" s="306">
        <f>I10+I17+I24</f>
        <v>83141.107000000004</v>
      </c>
      <c r="J31" s="129">
        <f t="shared" si="17"/>
        <v>908971.25900000008</v>
      </c>
      <c r="K31" s="300">
        <f t="shared" si="15"/>
        <v>0.11440161876033875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2"/>
      <c r="B32" s="432"/>
      <c r="C32" s="153" t="s">
        <v>90</v>
      </c>
      <c r="D32" s="306">
        <f t="shared" si="10"/>
        <v>215</v>
      </c>
      <c r="E32" s="129">
        <f>E11+E18+E25</f>
        <v>17852.231</v>
      </c>
      <c r="F32" s="129">
        <f t="shared" si="16"/>
        <v>196735.71541999999</v>
      </c>
      <c r="G32" s="300">
        <f t="shared" si="12"/>
        <v>2.4181345785225138E-2</v>
      </c>
      <c r="H32" s="300">
        <f>(E32-I32)/I32</f>
        <v>-2.5145429033121898E-2</v>
      </c>
      <c r="I32" s="306">
        <f>I11+I18+I25</f>
        <v>18312.712</v>
      </c>
      <c r="J32" s="129">
        <f t="shared" si="17"/>
        <v>200155.31980999999</v>
      </c>
      <c r="K32" s="300">
        <f t="shared" si="15"/>
        <v>2.5198171786332848E-2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2"/>
      <c r="B33" s="432"/>
      <c r="C33" s="153" t="s">
        <v>91</v>
      </c>
      <c r="D33" s="306"/>
      <c r="E33" s="129">
        <f t="shared" si="16"/>
        <v>-1272.2897203889997</v>
      </c>
      <c r="F33" s="129">
        <f t="shared" si="16"/>
        <v>-13951.545299999998</v>
      </c>
      <c r="G33" s="300">
        <f t="shared" si="12"/>
        <v>-1.7233519814814076E-3</v>
      </c>
      <c r="H33" s="300">
        <f t="shared" ref="H33" si="18">(E33-I33)/I33</f>
        <v>-0.7876532301424598</v>
      </c>
      <c r="I33" s="306">
        <f t="shared" ref="I33:J33" si="19">I12+I19+I26</f>
        <v>-5991.5661596480004</v>
      </c>
      <c r="J33" s="129">
        <f t="shared" si="19"/>
        <v>-65483.289680000009</v>
      </c>
      <c r="K33" s="300">
        <f t="shared" si="15"/>
        <v>-8.2443557983104248E-3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33"/>
      <c r="B34" s="433"/>
      <c r="C34" s="311" t="s">
        <v>0</v>
      </c>
      <c r="D34" s="314">
        <f>SUM(D28:D33)</f>
        <v>2191239</v>
      </c>
      <c r="E34" s="312">
        <f>SUM(E28:E33)</f>
        <v>738264.57627961121</v>
      </c>
      <c r="F34" s="312">
        <f>SUM(F28:F33)</f>
        <v>8137490.3222000003</v>
      </c>
      <c r="G34" s="313">
        <f>SUM(G28:G33)</f>
        <v>0.99999999999999978</v>
      </c>
      <c r="H34" s="313">
        <f>(E34-I34)/I34</f>
        <v>1.584722223873089E-2</v>
      </c>
      <c r="I34" s="314">
        <f>SUM(I28:I33)</f>
        <v>726747.64484035189</v>
      </c>
      <c r="J34" s="312">
        <f>SUM(J28:J33)</f>
        <v>7944035.0476299999</v>
      </c>
      <c r="K34" s="313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296"/>
      <c r="C35" s="101"/>
      <c r="D35" s="88"/>
      <c r="E35" s="88"/>
      <c r="F35" s="88"/>
      <c r="G35" s="485" t="s">
        <v>258</v>
      </c>
      <c r="H35" s="485"/>
      <c r="I35" s="485"/>
      <c r="J35" s="485"/>
      <c r="K35" s="485"/>
    </row>
    <row r="36" spans="1:20" ht="15" customHeight="1">
      <c r="A36" s="477" t="s">
        <v>257</v>
      </c>
      <c r="B36" s="477"/>
      <c r="C36" s="477"/>
      <c r="D36" s="477"/>
      <c r="E36" s="477"/>
      <c r="F36" s="119"/>
      <c r="G36" s="485"/>
      <c r="H36" s="485"/>
      <c r="I36" s="485"/>
      <c r="J36" s="485"/>
      <c r="K36" s="485"/>
      <c r="M36" s="93"/>
      <c r="N36" s="93"/>
      <c r="O36" s="93"/>
      <c r="P36" s="93"/>
      <c r="Q36" s="93"/>
      <c r="R36" s="93"/>
      <c r="S36" s="93"/>
    </row>
    <row r="37" spans="1:20" ht="15" customHeight="1">
      <c r="A37" s="478" t="str">
        <f>A28</f>
        <v>III. čtvrtletí</v>
      </c>
      <c r="B37" s="479"/>
      <c r="C37" s="479"/>
      <c r="D37" s="479"/>
      <c r="E37" s="479"/>
      <c r="F37" s="125"/>
      <c r="G37" s="480" t="str">
        <f>A28</f>
        <v>III. čtvrtletí</v>
      </c>
      <c r="H37" s="480"/>
      <c r="I37" s="480"/>
      <c r="J37" s="480"/>
      <c r="K37" s="48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2025</v>
      </c>
      <c r="D41" s="94">
        <f>I3</f>
        <v>2024</v>
      </c>
      <c r="E41" s="76"/>
      <c r="F41" s="76"/>
      <c r="G41" s="76"/>
      <c r="H41" s="94"/>
      <c r="I41" s="94">
        <f>D3</f>
        <v>2025</v>
      </c>
      <c r="J41" s="94">
        <f>I3</f>
        <v>2024</v>
      </c>
      <c r="K41" s="94"/>
    </row>
    <row r="42" spans="1:20" ht="15" customHeight="1">
      <c r="A42" s="94"/>
      <c r="B42" s="94" t="str">
        <f>A7</f>
        <v>Červenec</v>
      </c>
      <c r="C42" s="78">
        <f>E13</f>
        <v>231294.20180670902</v>
      </c>
      <c r="D42" s="78">
        <f>I13</f>
        <v>226028.31241119697</v>
      </c>
      <c r="E42" s="76"/>
      <c r="F42" s="76"/>
      <c r="G42" s="76"/>
      <c r="H42" s="94" t="str">
        <f>A7</f>
        <v>Červenec</v>
      </c>
      <c r="I42" s="95">
        <f>E13/E34</f>
        <v>0.3132944600596797</v>
      </c>
      <c r="J42" s="95">
        <f>I13/I34</f>
        <v>0.31101347767126192</v>
      </c>
      <c r="K42" s="94"/>
    </row>
    <row r="43" spans="1:20" ht="15" customHeight="1">
      <c r="A43" s="94"/>
      <c r="B43" s="94" t="str">
        <f>A14</f>
        <v>Srpen</v>
      </c>
      <c r="C43" s="78">
        <f>E20</f>
        <v>226198.08793594799</v>
      </c>
      <c r="D43" s="78">
        <f>I20</f>
        <v>226377.14906046301</v>
      </c>
      <c r="E43" s="76"/>
      <c r="F43" s="76"/>
      <c r="G43" s="76"/>
      <c r="H43" s="94" t="str">
        <f>A14</f>
        <v>Srpen</v>
      </c>
      <c r="I43" s="95">
        <f>E20/E34</f>
        <v>0.30639163140651282</v>
      </c>
      <c r="J43" s="95">
        <f>I20/I34</f>
        <v>0.31149347461620236</v>
      </c>
      <c r="K43" s="94"/>
    </row>
    <row r="44" spans="1:20" ht="15" customHeight="1">
      <c r="A44" s="94"/>
      <c r="B44" s="94" t="str">
        <f>A21</f>
        <v>Září</v>
      </c>
      <c r="C44" s="78">
        <f>E27</f>
        <v>280772.28653695399</v>
      </c>
      <c r="D44" s="78">
        <f>I27</f>
        <v>274342.183368692</v>
      </c>
      <c r="E44" s="76"/>
      <c r="F44" s="76"/>
      <c r="G44" s="76"/>
      <c r="H44" s="94" t="str">
        <f>A21</f>
        <v>Září</v>
      </c>
      <c r="I44" s="95">
        <f>E27/E34</f>
        <v>0.3803139085338072</v>
      </c>
      <c r="J44" s="95">
        <f>I27/I34</f>
        <v>0.37749304771253583</v>
      </c>
      <c r="K44" s="94"/>
    </row>
    <row r="45" spans="1:20" ht="15" customHeight="1">
      <c r="A45" s="94"/>
      <c r="B45" s="94"/>
      <c r="C45" s="78">
        <f>SUM(C42:C44)</f>
        <v>738264.57627961098</v>
      </c>
      <c r="D45" s="78">
        <f>SUM(D42:D44)</f>
        <v>726747.644840352</v>
      </c>
      <c r="E45" s="94"/>
      <c r="F45" s="94"/>
      <c r="G45" s="94"/>
      <c r="H45" s="94"/>
      <c r="I45" s="96">
        <f>SUM(I42:I44)</f>
        <v>0.99999999999999978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315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86"/>
      <c r="B2" s="486"/>
      <c r="C2" s="486"/>
      <c r="D2" s="308"/>
      <c r="E2" s="308"/>
      <c r="F2" s="309"/>
      <c r="G2" s="310"/>
      <c r="H2" s="310"/>
      <c r="I2" s="310"/>
      <c r="J2" s="275"/>
      <c r="K2" s="275"/>
    </row>
    <row r="3" spans="1:21" ht="15" customHeight="1">
      <c r="A3" s="497" t="s">
        <v>312</v>
      </c>
      <c r="B3" s="497"/>
      <c r="C3" s="497"/>
      <c r="D3" s="334">
        <f>'3.1'!A4</f>
        <v>2025</v>
      </c>
      <c r="E3" s="492"/>
      <c r="F3" s="492"/>
      <c r="G3" s="492"/>
      <c r="H3" s="333"/>
      <c r="I3" s="491">
        <f>D3-1</f>
        <v>2024</v>
      </c>
      <c r="J3" s="492"/>
      <c r="K3" s="492"/>
    </row>
    <row r="4" spans="1:21" ht="50.1" customHeight="1">
      <c r="A4" s="498"/>
      <c r="B4" s="498"/>
      <c r="C4" s="498"/>
      <c r="D4" s="336"/>
      <c r="E4" s="494"/>
      <c r="F4" s="494"/>
      <c r="G4" s="494"/>
      <c r="H4" s="173"/>
      <c r="I4" s="493"/>
      <c r="J4" s="494"/>
      <c r="K4" s="494"/>
    </row>
    <row r="5" spans="1:21" ht="24.95" customHeight="1">
      <c r="A5" s="497" t="s">
        <v>155</v>
      </c>
      <c r="B5" s="497"/>
      <c r="C5" s="499" t="s">
        <v>180</v>
      </c>
      <c r="D5" s="495" t="s">
        <v>156</v>
      </c>
      <c r="E5" s="489" t="s">
        <v>59</v>
      </c>
      <c r="F5" s="489"/>
      <c r="G5" s="490" t="s">
        <v>32</v>
      </c>
      <c r="H5" s="490" t="s">
        <v>256</v>
      </c>
      <c r="I5" s="487" t="s">
        <v>59</v>
      </c>
      <c r="J5" s="488"/>
      <c r="K5" s="490" t="s">
        <v>32</v>
      </c>
    </row>
    <row r="6" spans="1:21" ht="22.5" customHeight="1">
      <c r="A6" s="498"/>
      <c r="B6" s="498"/>
      <c r="C6" s="500"/>
      <c r="D6" s="496"/>
      <c r="E6" s="218" t="s">
        <v>247</v>
      </c>
      <c r="F6" s="218" t="s">
        <v>248</v>
      </c>
      <c r="G6" s="476"/>
      <c r="H6" s="476"/>
      <c r="I6" s="220" t="s">
        <v>247</v>
      </c>
      <c r="J6" s="218" t="s">
        <v>248</v>
      </c>
      <c r="K6" s="476"/>
    </row>
    <row r="7" spans="1:21" ht="12.95" customHeight="1">
      <c r="A7" s="431" t="str">
        <f>'3.1'!D5</f>
        <v>Červenec</v>
      </c>
      <c r="B7" s="431"/>
      <c r="C7" s="163" t="s">
        <v>4</v>
      </c>
      <c r="D7" s="305">
        <v>85</v>
      </c>
      <c r="E7" s="301">
        <v>7069.7613700000002</v>
      </c>
      <c r="F7" s="301">
        <v>77789.998298999999</v>
      </c>
      <c r="G7" s="302">
        <f t="shared" ref="G7:G12" si="0">E7/$E$13</f>
        <v>0.64959476776023151</v>
      </c>
      <c r="H7" s="302">
        <f>(E7-I7)/I7</f>
        <v>0.53916452362939182</v>
      </c>
      <c r="I7" s="305">
        <v>4593.2460510000001</v>
      </c>
      <c r="J7" s="301">
        <v>50107.721003999999</v>
      </c>
      <c r="K7" s="302">
        <f>I7/$I$13</f>
        <v>0.52329316524631952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2"/>
      <c r="B8" s="432"/>
      <c r="C8" s="153" t="s">
        <v>5</v>
      </c>
      <c r="D8" s="306">
        <v>306</v>
      </c>
      <c r="E8" s="129">
        <v>1511.4071829999998</v>
      </c>
      <c r="F8" s="129">
        <v>16630.315517999999</v>
      </c>
      <c r="G8" s="300">
        <f t="shared" si="0"/>
        <v>0.13887345649292129</v>
      </c>
      <c r="H8" s="300">
        <f t="shared" ref="H8:H11" si="1">(E8-I8)/I8</f>
        <v>-0.2799579903171342</v>
      </c>
      <c r="I8" s="306">
        <v>2099.0541699999999</v>
      </c>
      <c r="J8" s="129">
        <v>22898.581940000004</v>
      </c>
      <c r="K8" s="300">
        <f t="shared" ref="K8:K12" si="2">I8/$I$13</f>
        <v>0.23913822348002625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2"/>
      <c r="B9" s="432"/>
      <c r="C9" s="153" t="s">
        <v>6</v>
      </c>
      <c r="D9" s="306">
        <v>10741</v>
      </c>
      <c r="E9" s="129">
        <v>730.63562100000001</v>
      </c>
      <c r="F9" s="129">
        <v>8039.3298680000007</v>
      </c>
      <c r="G9" s="300">
        <f t="shared" si="0"/>
        <v>6.7133394141823427E-2</v>
      </c>
      <c r="H9" s="300">
        <f t="shared" si="1"/>
        <v>0.14898188215934466</v>
      </c>
      <c r="I9" s="306">
        <v>635.89829599999996</v>
      </c>
      <c r="J9" s="129">
        <v>6937.0145149999998</v>
      </c>
      <c r="K9" s="300">
        <f t="shared" si="2"/>
        <v>7.2445766761424682E-2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2"/>
      <c r="B10" s="432"/>
      <c r="C10" s="153" t="s">
        <v>7</v>
      </c>
      <c r="D10" s="306">
        <v>99847</v>
      </c>
      <c r="E10" s="129">
        <v>1114.4038270000001</v>
      </c>
      <c r="F10" s="129">
        <v>12262.454181999999</v>
      </c>
      <c r="G10" s="300">
        <f t="shared" si="0"/>
        <v>0.10239537903825717</v>
      </c>
      <c r="H10" s="300">
        <f t="shared" si="1"/>
        <v>0.14898188295836448</v>
      </c>
      <c r="I10" s="306">
        <v>969.90548200000001</v>
      </c>
      <c r="J10" s="129">
        <v>10580.215905999999</v>
      </c>
      <c r="K10" s="300">
        <f t="shared" si="2"/>
        <v>0.1104980887220355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2"/>
      <c r="B11" s="432"/>
      <c r="C11" s="153" t="s">
        <v>90</v>
      </c>
      <c r="D11" s="306">
        <v>20</v>
      </c>
      <c r="E11" s="129">
        <v>316.13099999999997</v>
      </c>
      <c r="F11" s="129">
        <v>3477.5947759999999</v>
      </c>
      <c r="G11" s="300">
        <f t="shared" si="0"/>
        <v>2.9047238340777225E-2</v>
      </c>
      <c r="H11" s="300">
        <f t="shared" si="1"/>
        <v>-9.3276390211442975E-2</v>
      </c>
      <c r="I11" s="306">
        <v>348.65199999999999</v>
      </c>
      <c r="J11" s="129">
        <v>3803.3541829999999</v>
      </c>
      <c r="K11" s="300">
        <f t="shared" si="2"/>
        <v>3.9720756655250163E-2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2"/>
      <c r="B12" s="432"/>
      <c r="C12" s="153" t="s">
        <v>91</v>
      </c>
      <c r="D12" s="306"/>
      <c r="E12" s="129">
        <v>141.00200000000001</v>
      </c>
      <c r="F12" s="129">
        <v>1552.4742000000001</v>
      </c>
      <c r="G12" s="300">
        <f t="shared" si="0"/>
        <v>1.2955764225989451E-2</v>
      </c>
      <c r="H12" s="300">
        <f>(E12-I12)/I12</f>
        <v>7.7823896774982707E-2</v>
      </c>
      <c r="I12" s="306">
        <v>130.821</v>
      </c>
      <c r="J12" s="129">
        <v>1427.2549999999999</v>
      </c>
      <c r="K12" s="300">
        <f t="shared" si="2"/>
        <v>1.4903999134943962E-2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33"/>
      <c r="B13" s="433"/>
      <c r="C13" s="311" t="s">
        <v>0</v>
      </c>
      <c r="D13" s="314">
        <v>110999</v>
      </c>
      <c r="E13" s="312">
        <v>10883.341000999999</v>
      </c>
      <c r="F13" s="312">
        <v>119752.166843</v>
      </c>
      <c r="G13" s="313">
        <f>SUM(G7:G12)</f>
        <v>1</v>
      </c>
      <c r="H13" s="313">
        <f>(E13-I13)/I13</f>
        <v>0.23990265220571722</v>
      </c>
      <c r="I13" s="314">
        <v>8777.576998999999</v>
      </c>
      <c r="J13" s="312">
        <v>95754.142548000003</v>
      </c>
      <c r="K13" s="313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31" t="str">
        <f>'3.1'!E5</f>
        <v>Srpen</v>
      </c>
      <c r="B14" s="431"/>
      <c r="C14" s="163" t="s">
        <v>4</v>
      </c>
      <c r="D14" s="305">
        <v>86</v>
      </c>
      <c r="E14" s="301">
        <v>8487.299223</v>
      </c>
      <c r="F14" s="301">
        <v>93671.775338000007</v>
      </c>
      <c r="G14" s="302">
        <f>E14/$E$20</f>
        <v>0.68600572788412773</v>
      </c>
      <c r="H14" s="302">
        <f>(E14-I14)/I14</f>
        <v>0.73285871642312206</v>
      </c>
      <c r="I14" s="305">
        <v>4897.8599020000011</v>
      </c>
      <c r="J14" s="301">
        <v>53458.181006999999</v>
      </c>
      <c r="K14" s="302">
        <f>I14/$I$20</f>
        <v>0.51947150079588111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2"/>
      <c r="B15" s="432"/>
      <c r="C15" s="153" t="s">
        <v>5</v>
      </c>
      <c r="D15" s="306">
        <v>306</v>
      </c>
      <c r="E15" s="129">
        <v>1575.1340690000002</v>
      </c>
      <c r="F15" s="129">
        <v>17384.282179000002</v>
      </c>
      <c r="G15" s="300">
        <f t="shared" ref="G15:G19" si="3">E15/$E$20</f>
        <v>0.1273138798489882</v>
      </c>
      <c r="H15" s="300">
        <f t="shared" ref="H15:H17" si="4">(E15-I15)/I15</f>
        <v>-0.38373647661230553</v>
      </c>
      <c r="I15" s="306">
        <v>2555.9424000000004</v>
      </c>
      <c r="J15" s="129">
        <v>27897.088915</v>
      </c>
      <c r="K15" s="300">
        <f t="shared" ref="K15:K19" si="5">I15/$I$20</f>
        <v>0.27108558861262139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2"/>
      <c r="B16" s="432"/>
      <c r="C16" s="153" t="s">
        <v>6</v>
      </c>
      <c r="D16" s="306">
        <v>10752</v>
      </c>
      <c r="E16" s="129">
        <v>761.22157600000003</v>
      </c>
      <c r="F16" s="129">
        <v>8401.3741709999995</v>
      </c>
      <c r="G16" s="300">
        <f t="shared" si="3"/>
        <v>6.152750687873125E-2</v>
      </c>
      <c r="H16" s="300">
        <f t="shared" si="4"/>
        <v>0.26103217149774094</v>
      </c>
      <c r="I16" s="306">
        <v>603.64960799999994</v>
      </c>
      <c r="J16" s="129">
        <v>6588.5936660000007</v>
      </c>
      <c r="K16" s="300">
        <f>I16/$I$20</f>
        <v>6.4023629523285872E-2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2"/>
      <c r="B17" s="432"/>
      <c r="C17" s="153" t="s">
        <v>7</v>
      </c>
      <c r="D17" s="306">
        <v>99818</v>
      </c>
      <c r="E17" s="129">
        <v>1161.0551310000001</v>
      </c>
      <c r="F17" s="129">
        <v>12814.576169</v>
      </c>
      <c r="G17" s="300">
        <f t="shared" si="3"/>
        <v>9.3844985233561898E-2</v>
      </c>
      <c r="H17" s="300">
        <f t="shared" si="4"/>
        <v>0.26103217000982365</v>
      </c>
      <c r="I17" s="306">
        <v>920.71808999999996</v>
      </c>
      <c r="J17" s="129">
        <v>10050.172666</v>
      </c>
      <c r="K17" s="300">
        <f>I17/$I$20</f>
        <v>9.7652202715498793E-2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2"/>
      <c r="B18" s="432"/>
      <c r="C18" s="153" t="s">
        <v>90</v>
      </c>
      <c r="D18" s="306">
        <v>20</v>
      </c>
      <c r="E18" s="129">
        <v>301.63800000000003</v>
      </c>
      <c r="F18" s="129">
        <v>3328.559045</v>
      </c>
      <c r="G18" s="300">
        <f t="shared" si="3"/>
        <v>2.4380593909869335E-2</v>
      </c>
      <c r="H18" s="300">
        <f>(E18-I18)/I18</f>
        <v>-0.11990896756969664</v>
      </c>
      <c r="I18" s="306">
        <v>342.73500000000001</v>
      </c>
      <c r="J18" s="129">
        <v>3740.2158860000004</v>
      </c>
      <c r="K18" s="300">
        <f>I18/$I$20</f>
        <v>3.635078756592746E-2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2"/>
      <c r="B19" s="432"/>
      <c r="C19" s="153" t="s">
        <v>91</v>
      </c>
      <c r="D19" s="306"/>
      <c r="E19" s="129">
        <v>85.704999999999998</v>
      </c>
      <c r="F19" s="129">
        <v>945.88099999999997</v>
      </c>
      <c r="G19" s="300">
        <f t="shared" si="3"/>
        <v>6.9273062447216564E-3</v>
      </c>
      <c r="H19" s="300">
        <f t="shared" ref="H19" si="6">(E19-I19)/I19</f>
        <v>-0.20377372513679984</v>
      </c>
      <c r="I19" s="306">
        <v>107.639</v>
      </c>
      <c r="J19" s="129">
        <v>1174.8429999999998</v>
      </c>
      <c r="K19" s="300">
        <f t="shared" si="5"/>
        <v>1.1416290786785317E-2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33"/>
      <c r="B20" s="433"/>
      <c r="C20" s="311" t="s">
        <v>0</v>
      </c>
      <c r="D20" s="314">
        <v>110982</v>
      </c>
      <c r="E20" s="312">
        <v>12372.052999</v>
      </c>
      <c r="F20" s="312">
        <v>136546.44790200001</v>
      </c>
      <c r="G20" s="313">
        <f>SUM(G14:G19)</f>
        <v>1</v>
      </c>
      <c r="H20" s="313">
        <f>(E20-I20)/I20</f>
        <v>0.31219125657153396</v>
      </c>
      <c r="I20" s="314">
        <v>9428.5440000000017</v>
      </c>
      <c r="J20" s="312">
        <v>102909.09514</v>
      </c>
      <c r="K20" s="313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31" t="str">
        <f>'3.1'!F5</f>
        <v>Září</v>
      </c>
      <c r="B21" s="431"/>
      <c r="C21" s="163" t="s">
        <v>4</v>
      </c>
      <c r="D21" s="305">
        <v>86</v>
      </c>
      <c r="E21" s="301">
        <v>7434.1853010000004</v>
      </c>
      <c r="F21" s="301">
        <v>82240.674894999989</v>
      </c>
      <c r="G21" s="302">
        <f>E21/$E$27</f>
        <v>0.56001222903944337</v>
      </c>
      <c r="H21" s="302">
        <f>(E21-I21)/I21</f>
        <v>0.23463745082399173</v>
      </c>
      <c r="I21" s="305">
        <v>6021.3508800000009</v>
      </c>
      <c r="J21" s="301">
        <v>65877.191730999999</v>
      </c>
      <c r="K21" s="302">
        <f>I21/$I$27</f>
        <v>0.4547472689067667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2"/>
      <c r="B22" s="432"/>
      <c r="C22" s="153" t="s">
        <v>5</v>
      </c>
      <c r="D22" s="306">
        <v>306</v>
      </c>
      <c r="E22" s="129">
        <v>1965.6182390000001</v>
      </c>
      <c r="F22" s="129">
        <v>21744.651768</v>
      </c>
      <c r="G22" s="300">
        <f t="shared" ref="G22:G26" si="7">E22/$E$27</f>
        <v>0.14806871323410603</v>
      </c>
      <c r="H22" s="300">
        <f t="shared" ref="H22:H26" si="8">(E22-I22)/I22</f>
        <v>-0.30819959812865394</v>
      </c>
      <c r="I22" s="306">
        <v>2841.3083220000003</v>
      </c>
      <c r="J22" s="129">
        <v>31085.617826000002</v>
      </c>
      <c r="K22" s="300">
        <f t="shared" ref="K22:K26" si="9">I22/$I$27</f>
        <v>0.21458261199213957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2"/>
      <c r="B23" s="432"/>
      <c r="C23" s="153" t="s">
        <v>6</v>
      </c>
      <c r="D23" s="306">
        <v>10754</v>
      </c>
      <c r="E23" s="129">
        <v>1373.587166</v>
      </c>
      <c r="F23" s="129">
        <v>15195.307478000001</v>
      </c>
      <c r="G23" s="300">
        <f t="shared" si="7"/>
        <v>0.10347140667964792</v>
      </c>
      <c r="H23" s="300">
        <f t="shared" si="8"/>
        <v>-0.10517183285719819</v>
      </c>
      <c r="I23" s="306">
        <v>1535.0289769999999</v>
      </c>
      <c r="J23" s="129">
        <v>16794.138017000001</v>
      </c>
      <c r="K23" s="300">
        <f t="shared" si="9"/>
        <v>0.11592917418283684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2"/>
      <c r="B24" s="432"/>
      <c r="C24" s="153" t="s">
        <v>7</v>
      </c>
      <c r="D24" s="306">
        <v>99764</v>
      </c>
      <c r="E24" s="129">
        <v>2095.0672939999999</v>
      </c>
      <c r="F24" s="129">
        <v>23176.120938</v>
      </c>
      <c r="G24" s="300">
        <f t="shared" si="7"/>
        <v>0.15782002436000009</v>
      </c>
      <c r="H24" s="300">
        <f t="shared" si="8"/>
        <v>-0.10517183249160161</v>
      </c>
      <c r="I24" s="306">
        <v>2341.3068229999999</v>
      </c>
      <c r="J24" s="129">
        <v>25615.113420000001</v>
      </c>
      <c r="K24" s="300">
        <f t="shared" si="9"/>
        <v>0.1768212656346691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2"/>
      <c r="B25" s="432"/>
      <c r="C25" s="153" t="s">
        <v>90</v>
      </c>
      <c r="D25" s="306">
        <v>20</v>
      </c>
      <c r="E25" s="129">
        <v>302.70099999999996</v>
      </c>
      <c r="F25" s="129">
        <v>3348.8656299999998</v>
      </c>
      <c r="G25" s="300">
        <f t="shared" si="7"/>
        <v>2.2802264791498571E-2</v>
      </c>
      <c r="H25" s="300">
        <f t="shared" si="8"/>
        <v>-0.11684352106060121</v>
      </c>
      <c r="I25" s="306">
        <v>342.74899999999997</v>
      </c>
      <c r="J25" s="129">
        <v>3750.7311639999998</v>
      </c>
      <c r="K25" s="300">
        <f t="shared" si="9"/>
        <v>2.5885249801374365E-2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2"/>
      <c r="B26" s="432"/>
      <c r="C26" s="153" t="s">
        <v>91</v>
      </c>
      <c r="D26" s="306"/>
      <c r="E26" s="129">
        <v>103.88200000000001</v>
      </c>
      <c r="F26" s="129">
        <v>1149.2160000000001</v>
      </c>
      <c r="G26" s="300">
        <f t="shared" si="7"/>
        <v>7.8253618953041289E-3</v>
      </c>
      <c r="H26" s="300">
        <f t="shared" si="8"/>
        <v>-0.34808502092890442</v>
      </c>
      <c r="I26" s="306">
        <v>159.34899999999999</v>
      </c>
      <c r="J26" s="129">
        <v>1743.23254</v>
      </c>
      <c r="K26" s="300">
        <f t="shared" si="9"/>
        <v>1.2034429482213525E-2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33"/>
      <c r="B27" s="433"/>
      <c r="C27" s="311" t="s">
        <v>0</v>
      </c>
      <c r="D27" s="314">
        <v>110930</v>
      </c>
      <c r="E27" s="312">
        <v>13275.040999999999</v>
      </c>
      <c r="F27" s="312">
        <v>146854.83670899997</v>
      </c>
      <c r="G27" s="313">
        <f>SUM(G21:G26)</f>
        <v>1.0000000000000002</v>
      </c>
      <c r="H27" s="313">
        <f>(E27-I27)/I27</f>
        <v>2.5638365348594691E-3</v>
      </c>
      <c r="I27" s="314">
        <v>13241.093002</v>
      </c>
      <c r="J27" s="312">
        <v>144866.02469799999</v>
      </c>
      <c r="K27" s="313">
        <f>SUM(K21:K26)</f>
        <v>1.0000000000000002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1" t="str">
        <f>'3.1'!G5</f>
        <v>III. čtvrtletí</v>
      </c>
      <c r="B28" s="431"/>
      <c r="C28" s="163" t="s">
        <v>4</v>
      </c>
      <c r="D28" s="305">
        <f>D21</f>
        <v>86</v>
      </c>
      <c r="E28" s="301">
        <f>E7+E14+E21</f>
        <v>22991.245894</v>
      </c>
      <c r="F28" s="301">
        <f>F7+F14+F21</f>
        <v>253702.44853200001</v>
      </c>
      <c r="G28" s="302">
        <f>E28/$E$34</f>
        <v>0.62937235469547514</v>
      </c>
      <c r="H28" s="302">
        <f>(E28-I28)/I28</f>
        <v>0.48211506027144568</v>
      </c>
      <c r="I28" s="305">
        <f>I7+I14+I21</f>
        <v>15512.456833000004</v>
      </c>
      <c r="J28" s="301">
        <f>J7+J14+J21</f>
        <v>169443.093742</v>
      </c>
      <c r="K28" s="302">
        <f>I28/$I$34</f>
        <v>0.4932855683974649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2"/>
      <c r="B29" s="432"/>
      <c r="C29" s="153" t="s">
        <v>5</v>
      </c>
      <c r="D29" s="306">
        <f t="shared" ref="D29:D32" si="10">D22</f>
        <v>306</v>
      </c>
      <c r="E29" s="129">
        <f>E8+E15+E22</f>
        <v>5052.1594910000003</v>
      </c>
      <c r="F29" s="129">
        <f t="shared" ref="F29" si="11">F8+F15+F22</f>
        <v>55759.249465000001</v>
      </c>
      <c r="G29" s="300">
        <f t="shared" ref="G29:G33" si="12">E29/$E$34</f>
        <v>0.13830000904725062</v>
      </c>
      <c r="H29" s="300">
        <f t="shared" ref="H29:H31" si="13">(E29-I29)/I29</f>
        <v>-0.32604669049792429</v>
      </c>
      <c r="I29" s="306">
        <f>I8+I15+I22</f>
        <v>7496.3048920000001</v>
      </c>
      <c r="J29" s="129">
        <f t="shared" ref="J29" si="14">J8+J15+J22</f>
        <v>81881.288681000005</v>
      </c>
      <c r="K29" s="300">
        <f t="shared" ref="K29:K33" si="15">I29/$I$34</f>
        <v>0.23837739304224603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2"/>
      <c r="B30" s="432"/>
      <c r="C30" s="153" t="s">
        <v>6</v>
      </c>
      <c r="D30" s="306">
        <f t="shared" si="10"/>
        <v>10754</v>
      </c>
      <c r="E30" s="129">
        <f t="shared" ref="E30:F33" si="16">E9+E16+E23</f>
        <v>2865.4443630000001</v>
      </c>
      <c r="F30" s="129">
        <f t="shared" si="16"/>
        <v>31636.011516999999</v>
      </c>
      <c r="G30" s="300">
        <f t="shared" si="12"/>
        <v>7.8439919015472995E-2</v>
      </c>
      <c r="H30" s="300">
        <f t="shared" si="13"/>
        <v>3.2750032130034211E-2</v>
      </c>
      <c r="I30" s="306">
        <f t="shared" ref="I30:J32" si="17">I9+I16+I23</f>
        <v>2774.576881</v>
      </c>
      <c r="J30" s="129">
        <f t="shared" si="17"/>
        <v>30319.746198000001</v>
      </c>
      <c r="K30" s="300">
        <f t="shared" si="15"/>
        <v>8.8229656239556545E-2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2"/>
      <c r="B31" s="432"/>
      <c r="C31" s="153" t="s">
        <v>7</v>
      </c>
      <c r="D31" s="306">
        <f t="shared" si="10"/>
        <v>99764</v>
      </c>
      <c r="E31" s="129">
        <f>E10+E17+E24</f>
        <v>4370.5262519999997</v>
      </c>
      <c r="F31" s="129">
        <f t="shared" si="16"/>
        <v>48253.151289000001</v>
      </c>
      <c r="G31" s="300">
        <f t="shared" si="12"/>
        <v>0.11964068459628252</v>
      </c>
      <c r="H31" s="300">
        <f t="shared" si="13"/>
        <v>3.2750032269847927E-2</v>
      </c>
      <c r="I31" s="306">
        <f>I10+I17+I24</f>
        <v>4231.9303949999994</v>
      </c>
      <c r="J31" s="129">
        <f t="shared" si="17"/>
        <v>46245.501992000005</v>
      </c>
      <c r="K31" s="300">
        <f t="shared" si="15"/>
        <v>0.13457250600531501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2"/>
      <c r="B32" s="432"/>
      <c r="C32" s="153" t="s">
        <v>90</v>
      </c>
      <c r="D32" s="306">
        <f t="shared" si="10"/>
        <v>20</v>
      </c>
      <c r="E32" s="129">
        <f>E11+E18+E25</f>
        <v>920.47</v>
      </c>
      <c r="F32" s="129">
        <f t="shared" si="16"/>
        <v>10155.019451</v>
      </c>
      <c r="G32" s="300">
        <f t="shared" si="12"/>
        <v>2.5197345720082448E-2</v>
      </c>
      <c r="H32" s="300">
        <f>(E32-I32)/I32</f>
        <v>-0.10991397649825549</v>
      </c>
      <c r="I32" s="306">
        <f>I11+I18+I25</f>
        <v>1034.136</v>
      </c>
      <c r="J32" s="129">
        <f t="shared" si="17"/>
        <v>11294.301233</v>
      </c>
      <c r="K32" s="300">
        <f t="shared" si="15"/>
        <v>3.2884820892786083E-2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2"/>
      <c r="B33" s="432"/>
      <c r="C33" s="153" t="s">
        <v>91</v>
      </c>
      <c r="D33" s="306"/>
      <c r="E33" s="129">
        <f t="shared" si="16"/>
        <v>330.589</v>
      </c>
      <c r="F33" s="129">
        <f t="shared" si="16"/>
        <v>3647.5712000000003</v>
      </c>
      <c r="G33" s="300">
        <f t="shared" si="12"/>
        <v>9.0496869254362844E-3</v>
      </c>
      <c r="H33" s="300">
        <f t="shared" ref="H33" si="18">(E33-I33)/I33</f>
        <v>-0.16897556364989222</v>
      </c>
      <c r="I33" s="306">
        <f t="shared" ref="I33:J33" si="19">I12+I19+I26</f>
        <v>397.80899999999997</v>
      </c>
      <c r="J33" s="129">
        <f t="shared" si="19"/>
        <v>4345.3305399999999</v>
      </c>
      <c r="K33" s="300">
        <f t="shared" si="15"/>
        <v>1.2650055422631394E-2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33"/>
      <c r="B34" s="433"/>
      <c r="C34" s="311" t="s">
        <v>0</v>
      </c>
      <c r="D34" s="314">
        <f>SUM(D28:D33)</f>
        <v>110930</v>
      </c>
      <c r="E34" s="312">
        <f>SUM(E28:E33)</f>
        <v>36530.434999999998</v>
      </c>
      <c r="F34" s="312">
        <f>SUM(F28:F33)</f>
        <v>403153.45145399997</v>
      </c>
      <c r="G34" s="313">
        <f>SUM(G28:G33)</f>
        <v>1</v>
      </c>
      <c r="H34" s="313">
        <f>(E34-I34)/I34</f>
        <v>0.16164296776300596</v>
      </c>
      <c r="I34" s="314">
        <f>SUM(I28:I33)</f>
        <v>31447.214001000004</v>
      </c>
      <c r="J34" s="312">
        <f>SUM(J28:J33)</f>
        <v>343529.26238600002</v>
      </c>
      <c r="K34" s="313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296"/>
      <c r="C35" s="101"/>
      <c r="D35" s="88"/>
      <c r="E35" s="88"/>
      <c r="F35" s="88"/>
      <c r="G35" s="485" t="s">
        <v>258</v>
      </c>
      <c r="H35" s="485"/>
      <c r="I35" s="485"/>
      <c r="J35" s="485"/>
      <c r="K35" s="485"/>
    </row>
    <row r="36" spans="1:20" ht="15" customHeight="1">
      <c r="A36" s="477" t="s">
        <v>257</v>
      </c>
      <c r="B36" s="477"/>
      <c r="C36" s="477"/>
      <c r="D36" s="477"/>
      <c r="E36" s="477"/>
      <c r="F36" s="119"/>
      <c r="G36" s="485"/>
      <c r="H36" s="485"/>
      <c r="I36" s="485"/>
      <c r="J36" s="485"/>
      <c r="K36" s="485"/>
      <c r="M36" s="93"/>
      <c r="N36" s="93"/>
      <c r="O36" s="93"/>
      <c r="P36" s="93"/>
      <c r="Q36" s="93"/>
      <c r="R36" s="93"/>
      <c r="S36" s="93"/>
    </row>
    <row r="37" spans="1:20" ht="15" customHeight="1">
      <c r="A37" s="478" t="str">
        <f>A28</f>
        <v>III. čtvrtletí</v>
      </c>
      <c r="B37" s="479"/>
      <c r="C37" s="479"/>
      <c r="D37" s="479"/>
      <c r="E37" s="479"/>
      <c r="F37" s="125"/>
      <c r="G37" s="480" t="str">
        <f>A28</f>
        <v>III. čtvrtletí</v>
      </c>
      <c r="H37" s="480"/>
      <c r="I37" s="480"/>
      <c r="J37" s="480"/>
      <c r="K37" s="48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2025</v>
      </c>
      <c r="D41" s="94">
        <f>I3</f>
        <v>2024</v>
      </c>
      <c r="E41" s="76"/>
      <c r="F41" s="76"/>
      <c r="G41" s="76"/>
      <c r="H41" s="94"/>
      <c r="I41" s="94">
        <f>D3</f>
        <v>2025</v>
      </c>
      <c r="J41" s="94">
        <f>I3</f>
        <v>2024</v>
      </c>
      <c r="K41" s="94"/>
    </row>
    <row r="42" spans="1:20" ht="15" customHeight="1">
      <c r="A42" s="94"/>
      <c r="B42" s="94" t="str">
        <f>A7</f>
        <v>Červenec</v>
      </c>
      <c r="C42" s="78">
        <f>E13</f>
        <v>10883.341000999999</v>
      </c>
      <c r="D42" s="78">
        <f>I13</f>
        <v>8777.576998999999</v>
      </c>
      <c r="E42" s="76"/>
      <c r="F42" s="76"/>
      <c r="G42" s="76"/>
      <c r="H42" s="94" t="str">
        <f>A7</f>
        <v>Červenec</v>
      </c>
      <c r="I42" s="95">
        <f>E13/E34</f>
        <v>0.29792530532417694</v>
      </c>
      <c r="J42" s="95">
        <f>I13/I34</f>
        <v>0.27912097391905294</v>
      </c>
      <c r="K42" s="94"/>
    </row>
    <row r="43" spans="1:20" ht="15" customHeight="1">
      <c r="A43" s="94"/>
      <c r="B43" s="94" t="str">
        <f>A14</f>
        <v>Srpen</v>
      </c>
      <c r="C43" s="78">
        <f>E20</f>
        <v>12372.052999</v>
      </c>
      <c r="D43" s="78">
        <f>I20</f>
        <v>9428.5440000000017</v>
      </c>
      <c r="E43" s="76"/>
      <c r="F43" s="76"/>
      <c r="G43" s="76"/>
      <c r="H43" s="94" t="str">
        <f>A14</f>
        <v>Srpen</v>
      </c>
      <c r="I43" s="95">
        <f>E20/E34</f>
        <v>0.33867795439610837</v>
      </c>
      <c r="J43" s="95">
        <f>I20/I34</f>
        <v>0.29982128145597187</v>
      </c>
      <c r="K43" s="94"/>
    </row>
    <row r="44" spans="1:20" ht="15" customHeight="1">
      <c r="A44" s="94"/>
      <c r="B44" s="94" t="str">
        <f>A21</f>
        <v>Září</v>
      </c>
      <c r="C44" s="78">
        <f>E27</f>
        <v>13275.040999999999</v>
      </c>
      <c r="D44" s="78">
        <f>I27</f>
        <v>13241.093002</v>
      </c>
      <c r="E44" s="76"/>
      <c r="F44" s="76"/>
      <c r="G44" s="76"/>
      <c r="H44" s="94" t="str">
        <f>A21</f>
        <v>Září</v>
      </c>
      <c r="I44" s="95">
        <f>E27/E34</f>
        <v>0.36339674027971469</v>
      </c>
      <c r="J44" s="95">
        <f>I27/I34</f>
        <v>0.42105774462497503</v>
      </c>
      <c r="K44" s="94"/>
    </row>
    <row r="45" spans="1:20" ht="15" customHeight="1">
      <c r="A45" s="94"/>
      <c r="B45" s="94"/>
      <c r="C45" s="78">
        <f>SUM(C42:C44)</f>
        <v>36530.434999999998</v>
      </c>
      <c r="D45" s="78">
        <f>SUM(D42:D44)</f>
        <v>31447.214001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1" t="s">
        <v>285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21" ht="6" customHeight="1">
      <c r="A2" s="486"/>
      <c r="B2" s="486"/>
      <c r="C2" s="486"/>
      <c r="D2" s="308"/>
      <c r="E2" s="308"/>
      <c r="F2" s="309"/>
      <c r="G2" s="310"/>
      <c r="H2" s="310"/>
      <c r="I2" s="310"/>
      <c r="J2" s="275"/>
      <c r="K2" s="275"/>
    </row>
    <row r="3" spans="1:21" ht="15" customHeight="1">
      <c r="A3" s="497" t="s">
        <v>33</v>
      </c>
      <c r="B3" s="497"/>
      <c r="C3" s="497"/>
      <c r="D3" s="334">
        <f>'3.1'!A4</f>
        <v>2025</v>
      </c>
      <c r="E3" s="492"/>
      <c r="F3" s="492"/>
      <c r="G3" s="492"/>
      <c r="H3" s="333"/>
      <c r="I3" s="491">
        <f>D3-1</f>
        <v>2024</v>
      </c>
      <c r="J3" s="492"/>
      <c r="K3" s="492"/>
    </row>
    <row r="4" spans="1:21" ht="50.1" customHeight="1">
      <c r="A4" s="498"/>
      <c r="B4" s="498"/>
      <c r="C4" s="498"/>
      <c r="D4" s="336"/>
      <c r="E4" s="494"/>
      <c r="F4" s="494"/>
      <c r="G4" s="494"/>
      <c r="H4" s="173"/>
      <c r="I4" s="493"/>
      <c r="J4" s="494"/>
      <c r="K4" s="494"/>
    </row>
    <row r="5" spans="1:21" ht="24.95" customHeight="1">
      <c r="A5" s="497" t="s">
        <v>155</v>
      </c>
      <c r="B5" s="497"/>
      <c r="C5" s="499" t="s">
        <v>180</v>
      </c>
      <c r="D5" s="495" t="s">
        <v>156</v>
      </c>
      <c r="E5" s="489" t="s">
        <v>59</v>
      </c>
      <c r="F5" s="489"/>
      <c r="G5" s="490" t="s">
        <v>32</v>
      </c>
      <c r="H5" s="490" t="s">
        <v>256</v>
      </c>
      <c r="I5" s="487" t="s">
        <v>59</v>
      </c>
      <c r="J5" s="488"/>
      <c r="K5" s="490" t="s">
        <v>32</v>
      </c>
    </row>
    <row r="6" spans="1:21" ht="22.5" customHeight="1">
      <c r="A6" s="498"/>
      <c r="B6" s="498"/>
      <c r="C6" s="500"/>
      <c r="D6" s="496"/>
      <c r="E6" s="218" t="s">
        <v>247</v>
      </c>
      <c r="F6" s="218" t="s">
        <v>248</v>
      </c>
      <c r="G6" s="476"/>
      <c r="H6" s="476"/>
      <c r="I6" s="220" t="s">
        <v>247</v>
      </c>
      <c r="J6" s="218" t="s">
        <v>248</v>
      </c>
      <c r="K6" s="476"/>
    </row>
    <row r="7" spans="1:21" ht="12.95" customHeight="1">
      <c r="A7" s="431" t="str">
        <f>'3.1'!D5</f>
        <v>Červenec</v>
      </c>
      <c r="B7" s="431"/>
      <c r="C7" s="163" t="s">
        <v>4</v>
      </c>
      <c r="D7" s="305">
        <v>95</v>
      </c>
      <c r="E7" s="301">
        <v>34179.040000000001</v>
      </c>
      <c r="F7" s="301">
        <v>375821.66121699999</v>
      </c>
      <c r="G7" s="302">
        <f t="shared" ref="G7:G12" si="0">E7/$E$13</f>
        <v>0.98937812827615879</v>
      </c>
      <c r="H7" s="302">
        <f>(E7-I7)/I7</f>
        <v>1.0859580443343839</v>
      </c>
      <c r="I7" s="305">
        <v>16385.295999999998</v>
      </c>
      <c r="J7" s="301">
        <v>178382.90477999998</v>
      </c>
      <c r="K7" s="302">
        <f>I7/$I$13</f>
        <v>0.98134955064076168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32"/>
      <c r="B8" s="432"/>
      <c r="C8" s="153" t="s">
        <v>5</v>
      </c>
      <c r="D8" s="306">
        <v>116</v>
      </c>
      <c r="E8" s="129">
        <v>17.218</v>
      </c>
      <c r="F8" s="129">
        <v>180.952</v>
      </c>
      <c r="G8" s="300">
        <f t="shared" si="0"/>
        <v>4.9840816514035797E-4</v>
      </c>
      <c r="H8" s="300">
        <f t="shared" ref="H8:H11" si="1">(E8-I8)/I8</f>
        <v>5.3132480878146249E-3</v>
      </c>
      <c r="I8" s="306">
        <v>17.126999999999999</v>
      </c>
      <c r="J8" s="129">
        <v>180.80099999999999</v>
      </c>
      <c r="K8" s="300">
        <f t="shared" ref="K8:K12" si="2">I8/$I$13</f>
        <v>1.0257717500998657E-3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32"/>
      <c r="B9" s="432"/>
      <c r="C9" s="153" t="s">
        <v>6</v>
      </c>
      <c r="D9" s="306">
        <v>1176</v>
      </c>
      <c r="E9" s="129">
        <v>133.45299999999997</v>
      </c>
      <c r="F9" s="129">
        <v>1401.3780000000002</v>
      </c>
      <c r="G9" s="300">
        <f t="shared" si="0"/>
        <v>3.8630540633334989E-3</v>
      </c>
      <c r="H9" s="300">
        <f t="shared" si="1"/>
        <v>0.31802828586101983</v>
      </c>
      <c r="I9" s="306">
        <v>101.252</v>
      </c>
      <c r="J9" s="129">
        <v>1063.3389999999999</v>
      </c>
      <c r="K9" s="300">
        <f t="shared" si="2"/>
        <v>6.0641934513406661E-3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32"/>
      <c r="B10" s="432"/>
      <c r="C10" s="153" t="s">
        <v>7</v>
      </c>
      <c r="D10" s="306">
        <v>8072</v>
      </c>
      <c r="E10" s="129">
        <v>0</v>
      </c>
      <c r="F10" s="129">
        <v>0</v>
      </c>
      <c r="G10" s="300">
        <f t="shared" si="0"/>
        <v>0</v>
      </c>
      <c r="H10" s="337" t="e">
        <f t="shared" si="1"/>
        <v>#DIV/0!</v>
      </c>
      <c r="I10" s="306">
        <v>0</v>
      </c>
      <c r="J10" s="129">
        <v>0</v>
      </c>
      <c r="K10" s="300">
        <f t="shared" si="2"/>
        <v>0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32"/>
      <c r="B11" s="432"/>
      <c r="C11" s="153" t="s">
        <v>90</v>
      </c>
      <c r="D11" s="306">
        <v>8</v>
      </c>
      <c r="E11" s="129">
        <v>49.637999999999998</v>
      </c>
      <c r="F11" s="129">
        <v>519.15300000000002</v>
      </c>
      <c r="G11" s="300">
        <f t="shared" si="0"/>
        <v>1.4368674933927918E-3</v>
      </c>
      <c r="H11" s="300">
        <f t="shared" si="1"/>
        <v>-7.3848794686170713E-2</v>
      </c>
      <c r="I11" s="306">
        <v>53.596000000000004</v>
      </c>
      <c r="J11" s="129">
        <v>561.71799999999996</v>
      </c>
      <c r="K11" s="300">
        <f t="shared" si="2"/>
        <v>3.2099762199073044E-3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32"/>
      <c r="B12" s="432"/>
      <c r="C12" s="153" t="s">
        <v>93</v>
      </c>
      <c r="D12" s="306">
        <v>0</v>
      </c>
      <c r="E12" s="129">
        <v>166.63399999999982</v>
      </c>
      <c r="F12" s="129">
        <v>1928.4575149999928</v>
      </c>
      <c r="G12" s="300">
        <f t="shared" si="0"/>
        <v>4.8235420019745803E-3</v>
      </c>
      <c r="H12" s="300">
        <f>(E12-I12)/I12</f>
        <v>0.19514380039863813</v>
      </c>
      <c r="I12" s="306">
        <v>139.42589999999944</v>
      </c>
      <c r="J12" s="129">
        <v>1644.6125627330123</v>
      </c>
      <c r="K12" s="300">
        <f t="shared" si="2"/>
        <v>8.3505079378903644E-3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33"/>
      <c r="B13" s="433"/>
      <c r="C13" s="311" t="s">
        <v>0</v>
      </c>
      <c r="D13" s="314">
        <v>9467</v>
      </c>
      <c r="E13" s="312">
        <v>34545.983</v>
      </c>
      <c r="F13" s="312">
        <v>379851.60173200001</v>
      </c>
      <c r="G13" s="313">
        <f>SUM(G7:G12)</f>
        <v>1</v>
      </c>
      <c r="H13" s="313">
        <f>(E13-I13)/I13</f>
        <v>1.0690309710299648</v>
      </c>
      <c r="I13" s="314">
        <v>16696.696899999999</v>
      </c>
      <c r="J13" s="312">
        <v>181833.37534273299</v>
      </c>
      <c r="K13" s="313">
        <f>SUM(K7:K12)</f>
        <v>0.99999999999999989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31" t="str">
        <f>'3.1'!E5</f>
        <v>Srpen</v>
      </c>
      <c r="B14" s="431"/>
      <c r="C14" s="163" t="s">
        <v>4</v>
      </c>
      <c r="D14" s="305">
        <v>95</v>
      </c>
      <c r="E14" s="301">
        <v>11083.421</v>
      </c>
      <c r="F14" s="301">
        <v>122505.503389</v>
      </c>
      <c r="G14" s="302">
        <f>E14/$E$20</f>
        <v>0.96317612438725753</v>
      </c>
      <c r="H14" s="302">
        <f>(E14-I14)/I14</f>
        <v>-0.59795084238849705</v>
      </c>
      <c r="I14" s="305">
        <v>27567.327999999998</v>
      </c>
      <c r="J14" s="301">
        <v>301515.60640999995</v>
      </c>
      <c r="K14" s="302">
        <f>I14/$I$20</f>
        <v>0.98888637272568491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32"/>
      <c r="B15" s="432"/>
      <c r="C15" s="153" t="s">
        <v>5</v>
      </c>
      <c r="D15" s="306">
        <v>117</v>
      </c>
      <c r="E15" s="129">
        <v>16.18</v>
      </c>
      <c r="F15" s="129">
        <v>170.05099999999999</v>
      </c>
      <c r="G15" s="300">
        <f t="shared" ref="G15:G19" si="3">E15/$E$20</f>
        <v>1.4060811813054676E-3</v>
      </c>
      <c r="H15" s="300">
        <f t="shared" ref="H15:H17" si="4">(E15-I15)/I15</f>
        <v>4.6639498027039275E-2</v>
      </c>
      <c r="I15" s="306">
        <v>15.459</v>
      </c>
      <c r="J15" s="129">
        <v>163.10499999999999</v>
      </c>
      <c r="K15" s="300">
        <f t="shared" ref="K15:K19" si="5">I15/$I$20</f>
        <v>5.5454030350588802E-4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32"/>
      <c r="B16" s="432"/>
      <c r="C16" s="153" t="s">
        <v>6</v>
      </c>
      <c r="D16" s="306">
        <v>1175</v>
      </c>
      <c r="E16" s="129">
        <v>167.12699999999998</v>
      </c>
      <c r="F16" s="129">
        <v>1755.0159999999998</v>
      </c>
      <c r="G16" s="300">
        <f t="shared" si="3"/>
        <v>1.4523741012857779E-2</v>
      </c>
      <c r="H16" s="300">
        <f t="shared" si="4"/>
        <v>1.7145107848232846</v>
      </c>
      <c r="I16" s="306">
        <v>61.567999999999998</v>
      </c>
      <c r="J16" s="129">
        <v>646.625</v>
      </c>
      <c r="K16" s="300">
        <f>I16/$I$20</f>
        <v>2.2085476037421899E-3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32"/>
      <c r="B17" s="432"/>
      <c r="C17" s="153" t="s">
        <v>7</v>
      </c>
      <c r="D17" s="306">
        <v>8072</v>
      </c>
      <c r="E17" s="129">
        <v>0</v>
      </c>
      <c r="F17" s="129">
        <v>0</v>
      </c>
      <c r="G17" s="300">
        <f t="shared" si="3"/>
        <v>0</v>
      </c>
      <c r="H17" s="337" t="e">
        <f t="shared" si="4"/>
        <v>#DIV/0!</v>
      </c>
      <c r="I17" s="306">
        <v>0</v>
      </c>
      <c r="J17" s="129">
        <v>0</v>
      </c>
      <c r="K17" s="300">
        <f>I17/$I$20</f>
        <v>0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32"/>
      <c r="B18" s="432"/>
      <c r="C18" s="153" t="s">
        <v>90</v>
      </c>
      <c r="D18" s="306">
        <v>8</v>
      </c>
      <c r="E18" s="129">
        <v>40.320999999999998</v>
      </c>
      <c r="F18" s="129">
        <v>421.11200000000002</v>
      </c>
      <c r="G18" s="300">
        <f t="shared" si="3"/>
        <v>3.5039925408787238E-3</v>
      </c>
      <c r="H18" s="300">
        <f>(E18-I18)/I18</f>
        <v>-0.297665911862045</v>
      </c>
      <c r="I18" s="306">
        <v>57.410000000000004</v>
      </c>
      <c r="J18" s="129">
        <v>600.69299999999998</v>
      </c>
      <c r="K18" s="300">
        <f>I18/$I$20</f>
        <v>2.059393157660459E-3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32"/>
      <c r="B19" s="432"/>
      <c r="C19" s="153" t="s">
        <v>93</v>
      </c>
      <c r="D19" s="306">
        <v>0</v>
      </c>
      <c r="E19" s="129">
        <v>200.11019900000147</v>
      </c>
      <c r="F19" s="129">
        <v>2223.1843079999871</v>
      </c>
      <c r="G19" s="300">
        <f t="shared" si="3"/>
        <v>1.7390060877700512E-2</v>
      </c>
      <c r="H19" s="300">
        <f t="shared" ref="H19" si="6">(E19-I19)/I19</f>
        <v>0.14101450120736506</v>
      </c>
      <c r="I19" s="306">
        <v>175.3791899999998</v>
      </c>
      <c r="J19" s="129">
        <v>2069.4042760000079</v>
      </c>
      <c r="K19" s="300">
        <f t="shared" si="5"/>
        <v>6.2911462094066032E-3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33"/>
      <c r="B20" s="433"/>
      <c r="C20" s="311" t="s">
        <v>0</v>
      </c>
      <c r="D20" s="314">
        <v>9467</v>
      </c>
      <c r="E20" s="312">
        <v>11507.159199000002</v>
      </c>
      <c r="F20" s="312">
        <v>127074.86669699999</v>
      </c>
      <c r="G20" s="313">
        <f>SUM(G14:G19)</f>
        <v>1</v>
      </c>
      <c r="H20" s="313">
        <f>(E20-I20)/I20</f>
        <v>-0.58721886572844095</v>
      </c>
      <c r="I20" s="314">
        <v>27877.144189999995</v>
      </c>
      <c r="J20" s="312">
        <v>304995.43368599995</v>
      </c>
      <c r="K20" s="313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31" t="str">
        <f>'3.1'!F5</f>
        <v>Září</v>
      </c>
      <c r="B21" s="431"/>
      <c r="C21" s="163" t="s">
        <v>4</v>
      </c>
      <c r="D21" s="305">
        <v>96</v>
      </c>
      <c r="E21" s="301">
        <v>1115.7730000000001</v>
      </c>
      <c r="F21" s="301">
        <v>12197.281340000001</v>
      </c>
      <c r="G21" s="302">
        <f>E21/$E$27</f>
        <v>0.7701913148232149</v>
      </c>
      <c r="H21" s="302">
        <f>(E21-I21)/I21</f>
        <v>-0.95314117136971355</v>
      </c>
      <c r="I21" s="305">
        <v>23811.372000000003</v>
      </c>
      <c r="J21" s="301">
        <v>260534.87114</v>
      </c>
      <c r="K21" s="302">
        <f>I21/$I$27</f>
        <v>0.98611912595612761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32"/>
      <c r="B22" s="432"/>
      <c r="C22" s="153" t="s">
        <v>5</v>
      </c>
      <c r="D22" s="306">
        <v>117</v>
      </c>
      <c r="E22" s="129">
        <v>26.66</v>
      </c>
      <c r="F22" s="129">
        <v>279.92099999999999</v>
      </c>
      <c r="G22" s="300">
        <f t="shared" ref="G22:G26" si="7">E22/$E$27</f>
        <v>1.8402757956310925E-2</v>
      </c>
      <c r="H22" s="300">
        <f t="shared" ref="H22:H26" si="8">(E22-I22)/I22</f>
        <v>0.16694388514400771</v>
      </c>
      <c r="I22" s="306">
        <v>22.846</v>
      </c>
      <c r="J22" s="129">
        <v>240.489</v>
      </c>
      <c r="K22" s="300">
        <f t="shared" ref="K22:K26" si="9">I22/$I$27</f>
        <v>9.4613941404105939E-4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32"/>
      <c r="B23" s="432"/>
      <c r="C23" s="153" t="s">
        <v>6</v>
      </c>
      <c r="D23" s="306">
        <v>1175</v>
      </c>
      <c r="E23" s="129">
        <v>92.901999999999987</v>
      </c>
      <c r="F23" s="129">
        <v>975.66</v>
      </c>
      <c r="G23" s="300">
        <f t="shared" si="7"/>
        <v>6.4128020242205444E-2</v>
      </c>
      <c r="H23" s="300">
        <f t="shared" si="8"/>
        <v>0.57881141342215714</v>
      </c>
      <c r="I23" s="306">
        <v>58.842999999999996</v>
      </c>
      <c r="J23" s="129">
        <v>618.06499999999994</v>
      </c>
      <c r="K23" s="300">
        <f t="shared" si="9"/>
        <v>2.4369115617796575E-3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32"/>
      <c r="B24" s="432"/>
      <c r="C24" s="153" t="s">
        <v>7</v>
      </c>
      <c r="D24" s="306">
        <v>8072</v>
      </c>
      <c r="E24" s="129">
        <v>0</v>
      </c>
      <c r="F24" s="129">
        <v>0</v>
      </c>
      <c r="G24" s="300">
        <f t="shared" si="7"/>
        <v>0</v>
      </c>
      <c r="H24" s="337" t="e">
        <f t="shared" si="8"/>
        <v>#DIV/0!</v>
      </c>
      <c r="I24" s="306">
        <v>0</v>
      </c>
      <c r="J24" s="129">
        <v>0</v>
      </c>
      <c r="K24" s="300">
        <f t="shared" si="9"/>
        <v>0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32"/>
      <c r="B25" s="432"/>
      <c r="C25" s="153" t="s">
        <v>90</v>
      </c>
      <c r="D25" s="306">
        <v>8</v>
      </c>
      <c r="E25" s="129">
        <v>54.385000000000005</v>
      </c>
      <c r="F25" s="129">
        <v>568.98</v>
      </c>
      <c r="G25" s="300">
        <f t="shared" si="7"/>
        <v>3.7540659844484986E-2</v>
      </c>
      <c r="H25" s="300">
        <f>(E25-I25)/I25</f>
        <v>-0.27090036465036454</v>
      </c>
      <c r="I25" s="306">
        <v>74.591999999999999</v>
      </c>
      <c r="J25" s="129">
        <v>779.84</v>
      </c>
      <c r="K25" s="300">
        <f t="shared" si="9"/>
        <v>3.0891373182242274E-3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32"/>
      <c r="B26" s="432"/>
      <c r="C26" s="153" t="s">
        <v>93</v>
      </c>
      <c r="D26" s="306">
        <v>0</v>
      </c>
      <c r="E26" s="129">
        <v>158.97589999999911</v>
      </c>
      <c r="F26" s="129">
        <v>1896.4369329999795</v>
      </c>
      <c r="G26" s="300">
        <f t="shared" si="7"/>
        <v>0.1097372471337837</v>
      </c>
      <c r="H26" s="300">
        <f t="shared" si="8"/>
        <v>-0.111341129152443</v>
      </c>
      <c r="I26" s="306">
        <v>178.89417999999944</v>
      </c>
      <c r="J26" s="129">
        <v>2139.3696250000075</v>
      </c>
      <c r="K26" s="300">
        <f t="shared" si="9"/>
        <v>7.4086857498273338E-3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33"/>
      <c r="B27" s="433"/>
      <c r="C27" s="311" t="s">
        <v>0</v>
      </c>
      <c r="D27" s="314">
        <v>9468</v>
      </c>
      <c r="E27" s="312">
        <v>1448.6958999999993</v>
      </c>
      <c r="F27" s="312">
        <v>15918.27927299998</v>
      </c>
      <c r="G27" s="313">
        <f>SUM(G21:G26)</f>
        <v>1</v>
      </c>
      <c r="H27" s="313">
        <f>(E27-I27)/I27</f>
        <v>-0.94000401427165881</v>
      </c>
      <c r="I27" s="314">
        <v>24146.547180000005</v>
      </c>
      <c r="J27" s="312">
        <v>264312.63476500002</v>
      </c>
      <c r="K27" s="313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501" t="str">
        <f>'3.1'!G5</f>
        <v>III. čtvrtletí</v>
      </c>
      <c r="B28" s="431"/>
      <c r="C28" s="163" t="s">
        <v>4</v>
      </c>
      <c r="D28" s="305">
        <f>D21</f>
        <v>96</v>
      </c>
      <c r="E28" s="301">
        <f>E7+E14+E21</f>
        <v>46378.234000000004</v>
      </c>
      <c r="F28" s="301">
        <f>F7+F14+F21</f>
        <v>510524.44594599999</v>
      </c>
      <c r="G28" s="302">
        <f>E28/$E$34</f>
        <v>0.97634609219419566</v>
      </c>
      <c r="H28" s="302">
        <f>(E28-I28)/I28</f>
        <v>-0.3155918077794585</v>
      </c>
      <c r="I28" s="305">
        <f>I7+I14+I21</f>
        <v>67763.995999999999</v>
      </c>
      <c r="J28" s="301">
        <f>J7+J14+J21</f>
        <v>740433.38232999993</v>
      </c>
      <c r="K28" s="302">
        <f>I28/$I$34</f>
        <v>0.98608284536690383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32"/>
      <c r="B29" s="432"/>
      <c r="C29" s="153" t="s">
        <v>5</v>
      </c>
      <c r="D29" s="306">
        <f t="shared" ref="D29:D32" si="10">D22</f>
        <v>117</v>
      </c>
      <c r="E29" s="129">
        <f>E8+E15+E22</f>
        <v>60.057999999999993</v>
      </c>
      <c r="F29" s="129">
        <f t="shared" ref="F29" si="11">F8+F15+F22</f>
        <v>630.92399999999998</v>
      </c>
      <c r="G29" s="300">
        <f t="shared" ref="G29:G33" si="12">E29/$E$34</f>
        <v>1.2643300218158154E-3</v>
      </c>
      <c r="H29" s="300">
        <f t="shared" ref="H29:H31" si="13">(E29-I29)/I29</f>
        <v>8.3453600808197262E-2</v>
      </c>
      <c r="I29" s="306">
        <f>I8+I15+I22</f>
        <v>55.432000000000002</v>
      </c>
      <c r="J29" s="129">
        <f t="shared" ref="J29" si="14">J8+J15+J22</f>
        <v>584.39499999999998</v>
      </c>
      <c r="K29" s="300">
        <f t="shared" ref="K29:K33" si="15">I29/$I$34</f>
        <v>8.0663106532823439E-4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32"/>
      <c r="B30" s="432"/>
      <c r="C30" s="153" t="s">
        <v>6</v>
      </c>
      <c r="D30" s="306">
        <f t="shared" si="10"/>
        <v>1175</v>
      </c>
      <c r="E30" s="129">
        <f t="shared" ref="E30:F33" si="16">E9+E16+E23</f>
        <v>393.48199999999991</v>
      </c>
      <c r="F30" s="129">
        <f t="shared" si="16"/>
        <v>4132.0540000000001</v>
      </c>
      <c r="G30" s="300">
        <f t="shared" si="12"/>
        <v>8.2835110334032215E-3</v>
      </c>
      <c r="H30" s="300">
        <f t="shared" si="13"/>
        <v>0.7751361300713242</v>
      </c>
      <c r="I30" s="306">
        <f t="shared" ref="I30:J32" si="17">I9+I16+I23</f>
        <v>221.66299999999998</v>
      </c>
      <c r="J30" s="129">
        <f t="shared" si="17"/>
        <v>2328.029</v>
      </c>
      <c r="K30" s="300">
        <f t="shared" si="15"/>
        <v>3.2255783993695411E-3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32"/>
      <c r="B31" s="432"/>
      <c r="C31" s="153" t="s">
        <v>7</v>
      </c>
      <c r="D31" s="306">
        <f t="shared" si="10"/>
        <v>8072</v>
      </c>
      <c r="E31" s="129">
        <f>E10+E17+E24</f>
        <v>0</v>
      </c>
      <c r="F31" s="129">
        <f t="shared" si="16"/>
        <v>0</v>
      </c>
      <c r="G31" s="300">
        <f t="shared" si="12"/>
        <v>0</v>
      </c>
      <c r="H31" s="337" t="e">
        <f t="shared" si="13"/>
        <v>#DIV/0!</v>
      </c>
      <c r="I31" s="306">
        <f>I10+I17+I24</f>
        <v>0</v>
      </c>
      <c r="J31" s="129">
        <f t="shared" si="17"/>
        <v>0</v>
      </c>
      <c r="K31" s="300">
        <f t="shared" si="15"/>
        <v>0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32"/>
      <c r="B32" s="432"/>
      <c r="C32" s="153" t="s">
        <v>90</v>
      </c>
      <c r="D32" s="306">
        <f t="shared" si="10"/>
        <v>8</v>
      </c>
      <c r="E32" s="129">
        <f>E11+E18+E25</f>
        <v>144.34399999999999</v>
      </c>
      <c r="F32" s="129">
        <f t="shared" si="16"/>
        <v>1509.2450000000001</v>
      </c>
      <c r="G32" s="300">
        <f t="shared" si="12"/>
        <v>3.0387034644673828E-3</v>
      </c>
      <c r="H32" s="300">
        <f>(E32-I32)/I32</f>
        <v>-0.22227610211316942</v>
      </c>
      <c r="I32" s="306">
        <f>I11+I18+I25</f>
        <v>185.59800000000001</v>
      </c>
      <c r="J32" s="129">
        <f t="shared" si="17"/>
        <v>1942.2510000000002</v>
      </c>
      <c r="K32" s="300">
        <f t="shared" si="15"/>
        <v>2.7007705380067411E-3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32"/>
      <c r="B33" s="432"/>
      <c r="C33" s="153" t="s">
        <v>93</v>
      </c>
      <c r="D33" s="306"/>
      <c r="E33" s="129">
        <f t="shared" si="16"/>
        <v>525.72009900000035</v>
      </c>
      <c r="F33" s="129">
        <f t="shared" si="16"/>
        <v>6048.078755999959</v>
      </c>
      <c r="G33" s="300">
        <f t="shared" si="12"/>
        <v>1.1067363286118138E-2</v>
      </c>
      <c r="H33" s="300">
        <f t="shared" ref="H33" si="18">(E33-I33)/I33</f>
        <v>6.485897578905013E-2</v>
      </c>
      <c r="I33" s="306">
        <f t="shared" ref="I33:J33" si="19">I12+I19+I26</f>
        <v>493.69926999999871</v>
      </c>
      <c r="J33" s="129">
        <f t="shared" si="19"/>
        <v>5853.386463733028</v>
      </c>
      <c r="K33" s="300">
        <f t="shared" si="15"/>
        <v>7.1841746303916614E-3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33"/>
      <c r="B34" s="433"/>
      <c r="C34" s="311" t="s">
        <v>0</v>
      </c>
      <c r="D34" s="314">
        <f>SUM(D28:D33)</f>
        <v>9468</v>
      </c>
      <c r="E34" s="312">
        <f>SUM(E28:E33)</f>
        <v>47501.838098999993</v>
      </c>
      <c r="F34" s="312">
        <f>SUM(F28:F33)</f>
        <v>522844.74770199996</v>
      </c>
      <c r="G34" s="313">
        <f>SUM(G28:G33)</f>
        <v>1.0000000000000002</v>
      </c>
      <c r="H34" s="313">
        <f>(E34-I34)/I34</f>
        <v>-0.30876644770447254</v>
      </c>
      <c r="I34" s="314">
        <f>SUM(I28:I33)</f>
        <v>68720.388269999996</v>
      </c>
      <c r="J34" s="312">
        <f>SUM(J28:J33)</f>
        <v>751141.44379373302</v>
      </c>
      <c r="K34" s="313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126"/>
      <c r="B35" s="296"/>
      <c r="C35" s="101"/>
      <c r="D35" s="88"/>
      <c r="E35" s="88"/>
      <c r="F35" s="88"/>
      <c r="G35" s="485" t="s">
        <v>258</v>
      </c>
      <c r="H35" s="485"/>
      <c r="I35" s="485"/>
      <c r="J35" s="485"/>
      <c r="K35" s="485"/>
    </row>
    <row r="36" spans="1:20" ht="15" customHeight="1">
      <c r="A36" s="477" t="s">
        <v>257</v>
      </c>
      <c r="B36" s="477"/>
      <c r="C36" s="477"/>
      <c r="D36" s="477"/>
      <c r="E36" s="477"/>
      <c r="F36" s="119"/>
      <c r="G36" s="485"/>
      <c r="H36" s="485"/>
      <c r="I36" s="485"/>
      <c r="J36" s="485"/>
      <c r="K36" s="485"/>
      <c r="M36" s="93"/>
      <c r="N36" s="93"/>
      <c r="O36" s="93"/>
      <c r="P36" s="93"/>
      <c r="Q36" s="93"/>
      <c r="R36" s="93"/>
      <c r="S36" s="93"/>
    </row>
    <row r="37" spans="1:20" ht="15" customHeight="1">
      <c r="A37" s="478" t="str">
        <f>A28</f>
        <v>III. čtvrtletí</v>
      </c>
      <c r="B37" s="478"/>
      <c r="C37" s="478"/>
      <c r="D37" s="478"/>
      <c r="E37" s="478"/>
      <c r="F37" s="125"/>
      <c r="G37" s="480" t="str">
        <f>A28</f>
        <v>III. čtvrtletí</v>
      </c>
      <c r="H37" s="480"/>
      <c r="I37" s="480"/>
      <c r="J37" s="480"/>
      <c r="K37" s="480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2025</v>
      </c>
      <c r="D41" s="94">
        <f>I3</f>
        <v>2024</v>
      </c>
      <c r="E41" s="76"/>
      <c r="F41" s="76"/>
      <c r="G41" s="76"/>
      <c r="H41" s="94"/>
      <c r="I41" s="94">
        <f>D3</f>
        <v>2025</v>
      </c>
      <c r="J41" s="94">
        <f>I3</f>
        <v>2024</v>
      </c>
      <c r="K41" s="94"/>
    </row>
    <row r="42" spans="1:20" ht="15" customHeight="1">
      <c r="A42" s="94"/>
      <c r="B42" s="94" t="str">
        <f>A7</f>
        <v>Červenec</v>
      </c>
      <c r="C42" s="78">
        <f>E13</f>
        <v>34545.983</v>
      </c>
      <c r="D42" s="78">
        <f>I13</f>
        <v>16696.696899999999</v>
      </c>
      <c r="E42" s="76"/>
      <c r="F42" s="76"/>
      <c r="G42" s="76"/>
      <c r="H42" s="94" t="str">
        <f>A7</f>
        <v>Červenec</v>
      </c>
      <c r="I42" s="95">
        <f>E13/E34</f>
        <v>0.72725571014750401</v>
      </c>
      <c r="J42" s="95">
        <f>I13/I34</f>
        <v>0.2429656950481604</v>
      </c>
      <c r="K42" s="94"/>
    </row>
    <row r="43" spans="1:20" ht="15" customHeight="1">
      <c r="A43" s="94"/>
      <c r="B43" s="94" t="str">
        <f>A14</f>
        <v>Srpen</v>
      </c>
      <c r="C43" s="78">
        <f>E20</f>
        <v>11507.159199000002</v>
      </c>
      <c r="D43" s="78">
        <f>I20</f>
        <v>27877.144189999995</v>
      </c>
      <c r="E43" s="76"/>
      <c r="F43" s="76"/>
      <c r="G43" s="76"/>
      <c r="H43" s="94" t="str">
        <f>A14</f>
        <v>Srpen</v>
      </c>
      <c r="I43" s="95">
        <f>E20/E34</f>
        <v>0.24224660896316452</v>
      </c>
      <c r="J43" s="95">
        <f>I20/I34</f>
        <v>0.40566045815212326</v>
      </c>
      <c r="K43" s="94"/>
    </row>
    <row r="44" spans="1:20" ht="15" customHeight="1">
      <c r="A44" s="94"/>
      <c r="B44" s="94" t="str">
        <f>A21</f>
        <v>Září</v>
      </c>
      <c r="C44" s="78">
        <f>E27</f>
        <v>1448.6958999999993</v>
      </c>
      <c r="D44" s="78">
        <f>I27</f>
        <v>24146.547180000005</v>
      </c>
      <c r="E44" s="76"/>
      <c r="F44" s="76"/>
      <c r="G44" s="76"/>
      <c r="H44" s="94" t="str">
        <f>A21</f>
        <v>Září</v>
      </c>
      <c r="I44" s="95">
        <f>E27/E34</f>
        <v>3.0497680889331674E-2</v>
      </c>
      <c r="J44" s="95">
        <f>I27/I34</f>
        <v>0.35137384679971639</v>
      </c>
      <c r="K44" s="94"/>
    </row>
    <row r="45" spans="1:20" ht="15" customHeight="1">
      <c r="A45" s="94"/>
      <c r="B45" s="94"/>
      <c r="C45" s="78">
        <f>SUM(C42:C44)</f>
        <v>47501.838099000001</v>
      </c>
      <c r="D45" s="78">
        <f>SUM(D42:D44)</f>
        <v>68720.388269999996</v>
      </c>
      <c r="E45" s="94"/>
      <c r="F45" s="94"/>
      <c r="G45" s="94"/>
      <c r="H45" s="94"/>
      <c r="I45" s="96">
        <f>SUM(I42:I44)</f>
        <v>1.0000000000000002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504" t="s">
        <v>197</v>
      </c>
      <c r="B52" s="504"/>
      <c r="C52" s="504"/>
      <c r="D52" s="504"/>
      <c r="E52" s="504"/>
      <c r="F52" s="504"/>
      <c r="G52" s="504"/>
      <c r="H52" s="504"/>
      <c r="I52" s="504"/>
      <c r="J52" s="504"/>
      <c r="K52" s="504"/>
    </row>
    <row r="53" spans="1:11" ht="15" customHeight="1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</row>
    <row r="54" spans="1:11" ht="15" customHeight="1">
      <c r="A54" s="504"/>
      <c r="B54" s="504"/>
      <c r="C54" s="504"/>
      <c r="D54" s="504"/>
      <c r="E54" s="504"/>
      <c r="F54" s="504"/>
      <c r="G54" s="504"/>
      <c r="H54" s="504"/>
      <c r="I54" s="504"/>
      <c r="J54" s="504"/>
      <c r="K54" s="50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"5.6 Spotřeba zemního plynu a teplota ovzduší: "&amp;LOWER(A3)</f>
        <v>5.6 Spotřeba zemního plynu a teplota ovzduší: červenec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18.75" customHeight="1">
      <c r="A3" s="512" t="str">
        <f>'3.1'!D5</f>
        <v>Červenec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8"/>
      <c r="B4" s="251">
        <f>'3.1'!A4</f>
        <v>2025</v>
      </c>
      <c r="C4" s="506" t="s">
        <v>59</v>
      </c>
      <c r="D4" s="507"/>
      <c r="E4" s="507"/>
      <c r="F4" s="508"/>
      <c r="G4" s="506" t="s">
        <v>182</v>
      </c>
      <c r="H4" s="507"/>
      <c r="I4" s="507"/>
      <c r="J4" s="507"/>
      <c r="K4" s="507"/>
    </row>
    <row r="5" spans="1:11" ht="22.5">
      <c r="A5" s="271"/>
      <c r="B5" s="490" t="s">
        <v>181</v>
      </c>
      <c r="C5" s="338"/>
      <c r="D5" s="339"/>
      <c r="E5" s="490" t="s">
        <v>265</v>
      </c>
      <c r="F5" s="510" t="s">
        <v>268</v>
      </c>
      <c r="G5" s="340" t="s">
        <v>61</v>
      </c>
      <c r="H5" s="341" t="s">
        <v>170</v>
      </c>
      <c r="I5" s="341" t="s">
        <v>171</v>
      </c>
      <c r="J5" s="341" t="s">
        <v>266</v>
      </c>
      <c r="K5" s="341" t="s">
        <v>267</v>
      </c>
    </row>
    <row r="6" spans="1:11" ht="24.95" customHeight="1">
      <c r="A6" s="342" t="s">
        <v>269</v>
      </c>
      <c r="B6" s="476"/>
      <c r="C6" s="220" t="s">
        <v>247</v>
      </c>
      <c r="D6" s="218" t="s">
        <v>248</v>
      </c>
      <c r="E6" s="476"/>
      <c r="F6" s="511"/>
      <c r="G6" s="343" t="s">
        <v>218</v>
      </c>
      <c r="H6" s="344" t="s">
        <v>218</v>
      </c>
      <c r="I6" s="344" t="s">
        <v>218</v>
      </c>
      <c r="J6" s="344" t="s">
        <v>218</v>
      </c>
      <c r="K6" s="344" t="s">
        <v>218</v>
      </c>
    </row>
    <row r="7" spans="1:11" ht="15.95" customHeight="1">
      <c r="A7" s="153" t="s">
        <v>307</v>
      </c>
      <c r="B7" s="129">
        <f>'5.2'!D13</f>
        <v>395292</v>
      </c>
      <c r="C7" s="306">
        <f>'5.2'!E13</f>
        <v>18171.521880729</v>
      </c>
      <c r="D7" s="129">
        <f>'5.2'!F13</f>
        <v>199196.299529004</v>
      </c>
      <c r="E7" s="300">
        <f>C7/$C$11</f>
        <v>6.1620301945278996E-2</v>
      </c>
      <c r="F7" s="325">
        <f>'5.2'!H13</f>
        <v>-1.0041313215500267E-2</v>
      </c>
      <c r="G7" s="323">
        <v>19.967741935483875</v>
      </c>
      <c r="H7" s="317">
        <v>27.6</v>
      </c>
      <c r="I7" s="317">
        <v>15</v>
      </c>
      <c r="J7" s="317">
        <v>20.248387096774195</v>
      </c>
      <c r="K7" s="317">
        <v>-0.28064516129031958</v>
      </c>
    </row>
    <row r="8" spans="1:11" ht="15.95" customHeight="1">
      <c r="A8" s="153" t="s">
        <v>84</v>
      </c>
      <c r="B8" s="129">
        <f>'5.3'!D13</f>
        <v>2194370</v>
      </c>
      <c r="C8" s="306">
        <f>'5.3'!E13</f>
        <v>231294.20180670902</v>
      </c>
      <c r="D8" s="129">
        <f>'5.3'!F13</f>
        <v>2541158.1353500001</v>
      </c>
      <c r="E8" s="300">
        <f t="shared" ref="E8:E10" si="0">C8/$C$11</f>
        <v>0.78432718222882991</v>
      </c>
      <c r="F8" s="325">
        <f>'5.3'!H13</f>
        <v>2.3297476937014009E-2</v>
      </c>
      <c r="G8" s="323">
        <v>18.149999999999999</v>
      </c>
      <c r="H8" s="318">
        <v>24.283333333333331</v>
      </c>
      <c r="I8" s="318">
        <v>13.666666666666666</v>
      </c>
      <c r="J8" s="318">
        <v>18.665591397849461</v>
      </c>
      <c r="K8" s="317">
        <v>-0.5155913978494624</v>
      </c>
    </row>
    <row r="9" spans="1:11" ht="15.95" customHeight="1">
      <c r="A9" s="153" t="s">
        <v>314</v>
      </c>
      <c r="B9" s="129">
        <f>'5.4'!D13</f>
        <v>110999</v>
      </c>
      <c r="C9" s="306">
        <f>'5.4'!E13</f>
        <v>10883.341000999999</v>
      </c>
      <c r="D9" s="129">
        <f>'5.4'!F13</f>
        <v>119752.166843</v>
      </c>
      <c r="E9" s="300">
        <f t="shared" si="0"/>
        <v>3.6905811360041715E-2</v>
      </c>
      <c r="F9" s="325">
        <f>'5.4'!H13</f>
        <v>0.23990265220571722</v>
      </c>
      <c r="G9" s="323">
        <v>17.654838709677424</v>
      </c>
      <c r="H9" s="318">
        <v>24</v>
      </c>
      <c r="I9" s="318">
        <v>12.5</v>
      </c>
      <c r="J9" s="318">
        <v>18.222580645161294</v>
      </c>
      <c r="K9" s="317">
        <v>-0.56774193548386975</v>
      </c>
    </row>
    <row r="10" spans="1:11" ht="15.95" customHeight="1">
      <c r="A10" s="153" t="s">
        <v>31</v>
      </c>
      <c r="B10" s="129">
        <f>'5.5'!D13</f>
        <v>9467</v>
      </c>
      <c r="C10" s="306">
        <f>'5.5'!E13</f>
        <v>34545.983</v>
      </c>
      <c r="D10" s="129">
        <f>'5.5'!F13</f>
        <v>379851.60173200001</v>
      </c>
      <c r="E10" s="300">
        <f t="shared" si="0"/>
        <v>0.11714670446584935</v>
      </c>
      <c r="F10" s="325">
        <f>'5.5'!H13</f>
        <v>1.0690309710299648</v>
      </c>
      <c r="G10" s="323">
        <v>18.161290322580648</v>
      </c>
      <c r="H10" s="318">
        <v>24.2</v>
      </c>
      <c r="I10" s="318">
        <v>13.5</v>
      </c>
      <c r="J10" s="318">
        <v>18.674193548387095</v>
      </c>
      <c r="K10" s="317">
        <v>-0.51290322580644698</v>
      </c>
    </row>
    <row r="11" spans="1:11" ht="15.95" customHeight="1">
      <c r="A11" s="158" t="s">
        <v>3</v>
      </c>
      <c r="B11" s="303">
        <f>SUM(B7:B10)</f>
        <v>2710128</v>
      </c>
      <c r="C11" s="307">
        <f>SUM(C7:C10)</f>
        <v>294895.04768843803</v>
      </c>
      <c r="D11" s="303">
        <f t="shared" ref="D11:E11" si="1">SUM(D7:D10)</f>
        <v>3239958.2034540037</v>
      </c>
      <c r="E11" s="304">
        <f t="shared" si="1"/>
        <v>1</v>
      </c>
      <c r="F11" s="326">
        <f>'5.1'!H14</f>
        <v>9.2776880249569343E-2</v>
      </c>
      <c r="G11" s="324">
        <v>18.161290322580648</v>
      </c>
      <c r="H11" s="322">
        <v>24.2</v>
      </c>
      <c r="I11" s="322">
        <v>13.5</v>
      </c>
      <c r="J11" s="322">
        <v>18.674193548387095</v>
      </c>
      <c r="K11" s="321">
        <v>-0.51290322580644698</v>
      </c>
    </row>
    <row r="12" spans="1:11" ht="15" customHeight="1">
      <c r="A12" s="101"/>
      <c r="B12" s="94"/>
      <c r="C12" s="513" t="s">
        <v>227</v>
      </c>
      <c r="D12" s="513"/>
      <c r="E12" s="513"/>
      <c r="F12" s="513"/>
      <c r="G12" s="516" t="s">
        <v>228</v>
      </c>
      <c r="H12" s="516"/>
      <c r="I12" s="516"/>
      <c r="J12" s="516"/>
      <c r="K12" s="516"/>
    </row>
    <row r="13" spans="1:11" ht="15" customHeight="1">
      <c r="A13" s="94"/>
      <c r="B13" s="94"/>
      <c r="C13" s="513"/>
      <c r="D13" s="513"/>
      <c r="E13" s="513"/>
      <c r="F13" s="513"/>
      <c r="G13" s="516" t="s">
        <v>229</v>
      </c>
      <c r="H13" s="516"/>
      <c r="I13" s="516"/>
      <c r="J13" s="516"/>
      <c r="K13" s="51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17" t="s">
        <v>259</v>
      </c>
      <c r="B16" s="517"/>
      <c r="C16" s="517"/>
      <c r="D16" s="517"/>
      <c r="E16" s="517"/>
      <c r="F16" s="517" t="s">
        <v>260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4"/>
      <c r="B18" s="514"/>
      <c r="C18" s="514"/>
      <c r="D18" s="124"/>
      <c r="E18" s="124"/>
      <c r="F18" s="124"/>
      <c r="G18" s="124"/>
      <c r="H18" s="514"/>
      <c r="I18" s="514"/>
      <c r="J18" s="124"/>
      <c r="K18" s="124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261</v>
      </c>
      <c r="B33" s="479"/>
      <c r="C33" s="479"/>
      <c r="D33" s="479"/>
      <c r="E33" s="479"/>
      <c r="F33" s="517" t="s">
        <v>64</v>
      </c>
      <c r="G33" s="517"/>
      <c r="H33" s="517"/>
      <c r="I33" s="517"/>
      <c r="J33" s="517"/>
      <c r="K33" s="517"/>
    </row>
    <row r="34" spans="1:11" ht="15" customHeight="1">
      <c r="A34" s="479"/>
      <c r="B34" s="479"/>
      <c r="C34" s="479"/>
      <c r="D34" s="479"/>
      <c r="E34" s="479"/>
      <c r="F34" s="517"/>
      <c r="G34" s="517"/>
      <c r="H34" s="517"/>
      <c r="I34" s="517"/>
      <c r="J34" s="517"/>
      <c r="K34" s="517"/>
    </row>
    <row r="35" spans="1:11" ht="15" customHeight="1">
      <c r="A35" s="124"/>
      <c r="B35" s="514"/>
      <c r="C35" s="514"/>
      <c r="D35" s="124"/>
      <c r="E35" s="121"/>
      <c r="F35" s="127"/>
      <c r="G35" s="127"/>
      <c r="H35" s="515"/>
      <c r="I35" s="515"/>
      <c r="J35" s="127"/>
      <c r="K35" s="127"/>
    </row>
    <row r="36" spans="1:11" ht="15" customHeight="1">
      <c r="A36" s="124"/>
      <c r="B36" s="124"/>
      <c r="C36" s="124"/>
      <c r="D36" s="124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"5.7 Spotřeba zemního plynu a teplota ovzduší: "&amp;LOWER(A3)</f>
        <v>5.7 Spotřeba zemního plynu a teplota ovzduší: srpen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18.75" customHeight="1">
      <c r="A3" s="512" t="str">
        <f>'3.1'!E5</f>
        <v>Srpen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8"/>
      <c r="B4" s="251">
        <f>'3.1'!A4</f>
        <v>2025</v>
      </c>
      <c r="C4" s="506" t="s">
        <v>59</v>
      </c>
      <c r="D4" s="507"/>
      <c r="E4" s="507"/>
      <c r="F4" s="508"/>
      <c r="G4" s="506" t="s">
        <v>182</v>
      </c>
      <c r="H4" s="507"/>
      <c r="I4" s="507"/>
      <c r="J4" s="507"/>
      <c r="K4" s="507"/>
    </row>
    <row r="5" spans="1:11" ht="22.5">
      <c r="A5" s="411"/>
      <c r="B5" s="490" t="s">
        <v>181</v>
      </c>
      <c r="C5" s="338"/>
      <c r="D5" s="339"/>
      <c r="E5" s="490" t="s">
        <v>265</v>
      </c>
      <c r="F5" s="510" t="s">
        <v>268</v>
      </c>
      <c r="G5" s="340" t="s">
        <v>61</v>
      </c>
      <c r="H5" s="341" t="s">
        <v>170</v>
      </c>
      <c r="I5" s="341" t="s">
        <v>171</v>
      </c>
      <c r="J5" s="341" t="s">
        <v>266</v>
      </c>
      <c r="K5" s="341" t="s">
        <v>267</v>
      </c>
    </row>
    <row r="6" spans="1:11" ht="24.95" customHeight="1">
      <c r="A6" s="412" t="s">
        <v>269</v>
      </c>
      <c r="B6" s="476"/>
      <c r="C6" s="220" t="s">
        <v>247</v>
      </c>
      <c r="D6" s="218" t="s">
        <v>248</v>
      </c>
      <c r="E6" s="476"/>
      <c r="F6" s="511"/>
      <c r="G6" s="343" t="s">
        <v>218</v>
      </c>
      <c r="H6" s="344" t="s">
        <v>218</v>
      </c>
      <c r="I6" s="344" t="s">
        <v>218</v>
      </c>
      <c r="J6" s="344" t="s">
        <v>218</v>
      </c>
      <c r="K6" s="344" t="s">
        <v>218</v>
      </c>
    </row>
    <row r="7" spans="1:11" ht="15.95" customHeight="1">
      <c r="A7" s="153" t="s">
        <v>307</v>
      </c>
      <c r="B7" s="129">
        <f>'5.2'!D20</f>
        <v>394832</v>
      </c>
      <c r="C7" s="306">
        <f>'5.2'!E20</f>
        <v>18339.85515444</v>
      </c>
      <c r="D7" s="129">
        <f>'5.2'!F20</f>
        <v>202332.16865399701</v>
      </c>
      <c r="E7" s="300">
        <f>C7/$C$11</f>
        <v>6.8325942634835005E-2</v>
      </c>
      <c r="F7" s="325">
        <f>'5.2'!H20</f>
        <v>0.11356886309651508</v>
      </c>
      <c r="G7" s="323">
        <v>19.693548387096776</v>
      </c>
      <c r="H7" s="317">
        <v>28</v>
      </c>
      <c r="I7" s="317">
        <v>13.4</v>
      </c>
      <c r="J7" s="317">
        <v>19.754838709677415</v>
      </c>
      <c r="K7" s="317">
        <v>-6.1290322580639156E-2</v>
      </c>
    </row>
    <row r="8" spans="1:11" ht="15.95" customHeight="1">
      <c r="A8" s="153" t="s">
        <v>84</v>
      </c>
      <c r="B8" s="129">
        <f>'5.3'!D20</f>
        <v>2192607</v>
      </c>
      <c r="C8" s="306">
        <f>'5.3'!E20</f>
        <v>226198.08793594799</v>
      </c>
      <c r="D8" s="129">
        <f>'5.3'!F20</f>
        <v>2492161.0204999996</v>
      </c>
      <c r="E8" s="300">
        <f t="shared" ref="E8:E10" si="0">C8/$C$11</f>
        <v>0.8427109947310194</v>
      </c>
      <c r="F8" s="325">
        <f>'5.3'!H20</f>
        <v>-7.9098586256687873E-4</v>
      </c>
      <c r="G8" s="323">
        <v>17.835483870967742</v>
      </c>
      <c r="H8" s="318">
        <v>24.8</v>
      </c>
      <c r="I8" s="318">
        <v>11.933333333333332</v>
      </c>
      <c r="J8" s="318">
        <v>18.182258064516127</v>
      </c>
      <c r="K8" s="317">
        <v>-0.34677419354838435</v>
      </c>
    </row>
    <row r="9" spans="1:11" ht="15.95" customHeight="1">
      <c r="A9" s="153" t="s">
        <v>314</v>
      </c>
      <c r="B9" s="129">
        <f>'5.4'!D20</f>
        <v>110982</v>
      </c>
      <c r="C9" s="306">
        <f>'5.4'!E20</f>
        <v>12372.052999</v>
      </c>
      <c r="D9" s="129">
        <f>'5.4'!F20</f>
        <v>136546.44790200001</v>
      </c>
      <c r="E9" s="300">
        <f t="shared" si="0"/>
        <v>4.6092631395737119E-2</v>
      </c>
      <c r="F9" s="325">
        <f>'5.4'!H20</f>
        <v>0.31219125657153396</v>
      </c>
      <c r="G9" s="323">
        <v>17.587096774193544</v>
      </c>
      <c r="H9" s="318">
        <v>23.9</v>
      </c>
      <c r="I9" s="318">
        <v>11</v>
      </c>
      <c r="J9" s="318">
        <v>17.748387096774195</v>
      </c>
      <c r="K9" s="317">
        <v>-0.16129032258065124</v>
      </c>
    </row>
    <row r="10" spans="1:11" ht="15.95" customHeight="1">
      <c r="A10" s="153" t="s">
        <v>31</v>
      </c>
      <c r="B10" s="129">
        <f>'5.5'!D20</f>
        <v>9467</v>
      </c>
      <c r="C10" s="306">
        <f>'5.5'!E20</f>
        <v>11507.159199000002</v>
      </c>
      <c r="D10" s="129">
        <f>'5.5'!F20</f>
        <v>127074.86669699999</v>
      </c>
      <c r="E10" s="300">
        <f t="shared" si="0"/>
        <v>4.2870431238408301E-2</v>
      </c>
      <c r="F10" s="325">
        <f>'5.5'!H20</f>
        <v>-0.58721886572844095</v>
      </c>
      <c r="G10" s="323">
        <v>17.899999999999999</v>
      </c>
      <c r="H10" s="318">
        <v>24.7</v>
      </c>
      <c r="I10" s="318">
        <v>11.9</v>
      </c>
      <c r="J10" s="318">
        <v>18.203225806451616</v>
      </c>
      <c r="K10" s="317">
        <v>-0.30322580645161779</v>
      </c>
    </row>
    <row r="11" spans="1:11" ht="15.95" customHeight="1">
      <c r="A11" s="158" t="s">
        <v>3</v>
      </c>
      <c r="B11" s="303">
        <f>SUM(B7:B10)</f>
        <v>2707888</v>
      </c>
      <c r="C11" s="307">
        <f t="shared" ref="C11:E11" si="1">SUM(C7:C10)</f>
        <v>268417.15528838802</v>
      </c>
      <c r="D11" s="303">
        <f t="shared" si="1"/>
        <v>2958114.5037529967</v>
      </c>
      <c r="E11" s="304">
        <f t="shared" si="1"/>
        <v>0.99999999999999989</v>
      </c>
      <c r="F11" s="326">
        <f>'5.1'!H21</f>
        <v>-4.1888367690571894E-2</v>
      </c>
      <c r="G11" s="324">
        <v>17.899999999999999</v>
      </c>
      <c r="H11" s="322">
        <v>24.7</v>
      </c>
      <c r="I11" s="322">
        <v>11.9</v>
      </c>
      <c r="J11" s="322">
        <v>18.203225806451616</v>
      </c>
      <c r="K11" s="321">
        <v>-0.30322580645161779</v>
      </c>
    </row>
    <row r="12" spans="1:11" ht="15" customHeight="1">
      <c r="A12" s="101"/>
      <c r="B12" s="94"/>
      <c r="C12" s="513" t="s">
        <v>227</v>
      </c>
      <c r="D12" s="513"/>
      <c r="E12" s="513"/>
      <c r="F12" s="513"/>
      <c r="G12" s="516" t="s">
        <v>228</v>
      </c>
      <c r="H12" s="516"/>
      <c r="I12" s="516"/>
      <c r="J12" s="516"/>
      <c r="K12" s="516"/>
    </row>
    <row r="13" spans="1:11" ht="15" customHeight="1">
      <c r="A13" s="94"/>
      <c r="B13" s="94"/>
      <c r="C13" s="513"/>
      <c r="D13" s="513"/>
      <c r="E13" s="513"/>
      <c r="F13" s="513"/>
      <c r="G13" s="516" t="s">
        <v>229</v>
      </c>
      <c r="H13" s="516"/>
      <c r="I13" s="516"/>
      <c r="J13" s="516"/>
      <c r="K13" s="51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17" t="s">
        <v>259</v>
      </c>
      <c r="B16" s="517"/>
      <c r="C16" s="517"/>
      <c r="D16" s="517"/>
      <c r="E16" s="517"/>
      <c r="F16" s="517" t="s">
        <v>260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0"/>
      <c r="B18" s="514"/>
      <c r="C18" s="514"/>
      <c r="D18" s="120"/>
      <c r="E18" s="120"/>
      <c r="F18" s="120"/>
      <c r="G18" s="123"/>
      <c r="H18" s="514"/>
      <c r="I18" s="51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261</v>
      </c>
      <c r="B33" s="479"/>
      <c r="C33" s="479"/>
      <c r="D33" s="479"/>
      <c r="E33" s="479"/>
      <c r="F33" s="517" t="s">
        <v>64</v>
      </c>
      <c r="G33" s="517"/>
      <c r="H33" s="517"/>
      <c r="I33" s="517"/>
      <c r="J33" s="517"/>
      <c r="K33" s="517"/>
    </row>
    <row r="34" spans="1:11" ht="15" customHeight="1">
      <c r="A34" s="479"/>
      <c r="B34" s="479"/>
      <c r="C34" s="479"/>
      <c r="D34" s="479"/>
      <c r="E34" s="479"/>
      <c r="F34" s="517"/>
      <c r="G34" s="517"/>
      <c r="H34" s="517"/>
      <c r="I34" s="517"/>
      <c r="J34" s="517"/>
      <c r="K34" s="517"/>
    </row>
    <row r="35" spans="1:11" ht="15" customHeight="1">
      <c r="A35" s="120"/>
      <c r="B35" s="514"/>
      <c r="C35" s="514"/>
      <c r="D35" s="120"/>
      <c r="E35" s="121"/>
      <c r="F35" s="127"/>
      <c r="G35" s="127"/>
      <c r="H35" s="515"/>
      <c r="I35" s="51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"5.8 Spotřeba zemního plynu a teplota ovzduší: "&amp;LOWER(A3)</f>
        <v>5.8 Spotřeba zemního plynu a teplota ovzduší: září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18.75" customHeight="1">
      <c r="A3" s="512" t="str">
        <f>'3.1'!F5</f>
        <v>Září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8"/>
      <c r="B4" s="251">
        <f>'3.1'!A4</f>
        <v>2025</v>
      </c>
      <c r="C4" s="506" t="s">
        <v>59</v>
      </c>
      <c r="D4" s="507"/>
      <c r="E4" s="507"/>
      <c r="F4" s="508"/>
      <c r="G4" s="506" t="s">
        <v>182</v>
      </c>
      <c r="H4" s="507"/>
      <c r="I4" s="507"/>
      <c r="J4" s="507"/>
      <c r="K4" s="507"/>
    </row>
    <row r="5" spans="1:11" ht="22.5">
      <c r="A5" s="411"/>
      <c r="B5" s="490" t="s">
        <v>181</v>
      </c>
      <c r="C5" s="338"/>
      <c r="D5" s="339"/>
      <c r="E5" s="490" t="s">
        <v>265</v>
      </c>
      <c r="F5" s="510" t="s">
        <v>268</v>
      </c>
      <c r="G5" s="340" t="s">
        <v>61</v>
      </c>
      <c r="H5" s="341" t="s">
        <v>170</v>
      </c>
      <c r="I5" s="341" t="s">
        <v>171</v>
      </c>
      <c r="J5" s="341" t="s">
        <v>266</v>
      </c>
      <c r="K5" s="341" t="s">
        <v>267</v>
      </c>
    </row>
    <row r="6" spans="1:11" ht="24.95" customHeight="1">
      <c r="A6" s="412" t="s">
        <v>269</v>
      </c>
      <c r="B6" s="476"/>
      <c r="C6" s="220" t="s">
        <v>247</v>
      </c>
      <c r="D6" s="218" t="s">
        <v>248</v>
      </c>
      <c r="E6" s="476"/>
      <c r="F6" s="511"/>
      <c r="G6" s="343" t="s">
        <v>218</v>
      </c>
      <c r="H6" s="344" t="s">
        <v>218</v>
      </c>
      <c r="I6" s="344" t="s">
        <v>218</v>
      </c>
      <c r="J6" s="344" t="s">
        <v>218</v>
      </c>
      <c r="K6" s="344" t="s">
        <v>218</v>
      </c>
    </row>
    <row r="7" spans="1:11" ht="15.95" customHeight="1">
      <c r="A7" s="153" t="s">
        <v>307</v>
      </c>
      <c r="B7" s="129">
        <f>'5.2'!D27</f>
        <v>394364</v>
      </c>
      <c r="C7" s="306">
        <f>'5.2'!E27</f>
        <v>24769.312184121001</v>
      </c>
      <c r="D7" s="129">
        <f>'5.2'!F27</f>
        <v>274244.780351008</v>
      </c>
      <c r="E7" s="300">
        <f>C7/$C$11</f>
        <v>7.7339972295431464E-2</v>
      </c>
      <c r="F7" s="325">
        <f>'5.2'!H27</f>
        <v>-1.8261689640315382E-3</v>
      </c>
      <c r="G7" s="323">
        <v>15.443333333333335</v>
      </c>
      <c r="H7" s="317">
        <v>21.7</v>
      </c>
      <c r="I7" s="317">
        <v>8</v>
      </c>
      <c r="J7" s="317">
        <v>14.886666666666667</v>
      </c>
      <c r="K7" s="317">
        <v>0.55666666666666842</v>
      </c>
    </row>
    <row r="8" spans="1:11" ht="15.95" customHeight="1">
      <c r="A8" s="153" t="s">
        <v>84</v>
      </c>
      <c r="B8" s="129">
        <f>'5.3'!D27</f>
        <v>2191239</v>
      </c>
      <c r="C8" s="306">
        <f>'5.3'!E27</f>
        <v>280772.28653695399</v>
      </c>
      <c r="D8" s="129">
        <f>'5.3'!F27</f>
        <v>3104171.1663500005</v>
      </c>
      <c r="E8" s="300">
        <f t="shared" ref="E8:E10" si="0">C8/$C$11</f>
        <v>0.87668646996237021</v>
      </c>
      <c r="F8" s="325">
        <f>'5.3'!H27</f>
        <v>2.343825907232245E-2</v>
      </c>
      <c r="G8" s="323">
        <v>14.108333333333333</v>
      </c>
      <c r="H8" s="318">
        <v>19.966666666666665</v>
      </c>
      <c r="I8" s="318">
        <v>6.3833333333333329</v>
      </c>
      <c r="J8" s="318">
        <v>13.369444444444444</v>
      </c>
      <c r="K8" s="317">
        <v>0.73888888888888893</v>
      </c>
    </row>
    <row r="9" spans="1:11" ht="15.95" customHeight="1">
      <c r="A9" s="153" t="s">
        <v>314</v>
      </c>
      <c r="B9" s="129">
        <f>'5.4'!D27</f>
        <v>110930</v>
      </c>
      <c r="C9" s="306">
        <f>'5.4'!E27</f>
        <v>13275.040999999999</v>
      </c>
      <c r="D9" s="129">
        <f>'5.4'!F27</f>
        <v>146854.83670899997</v>
      </c>
      <c r="E9" s="300">
        <f t="shared" si="0"/>
        <v>4.1450133759422816E-2</v>
      </c>
      <c r="F9" s="325">
        <f>'5.4'!H27</f>
        <v>2.5638365348594691E-3</v>
      </c>
      <c r="G9" s="323">
        <v>13.543333333333335</v>
      </c>
      <c r="H9" s="318">
        <v>19.399999999999999</v>
      </c>
      <c r="I9" s="318">
        <v>5.6</v>
      </c>
      <c r="J9" s="318">
        <v>12.93</v>
      </c>
      <c r="K9" s="317">
        <v>0.61333333333333506</v>
      </c>
    </row>
    <row r="10" spans="1:11" ht="15.95" customHeight="1">
      <c r="A10" s="153" t="s">
        <v>31</v>
      </c>
      <c r="B10" s="129">
        <f>'5.5'!D27</f>
        <v>9468</v>
      </c>
      <c r="C10" s="306">
        <f>'5.5'!E27</f>
        <v>1448.6958999999993</v>
      </c>
      <c r="D10" s="129">
        <f>'5.5'!F27</f>
        <v>15918.27927299998</v>
      </c>
      <c r="E10" s="300">
        <f t="shared" si="0"/>
        <v>4.5234239827754499E-3</v>
      </c>
      <c r="F10" s="325">
        <f>'5.5'!H27</f>
        <v>-0.94000401427165881</v>
      </c>
      <c r="G10" s="323">
        <v>14.100000000000001</v>
      </c>
      <c r="H10" s="318">
        <v>19.8</v>
      </c>
      <c r="I10" s="318">
        <v>6.3</v>
      </c>
      <c r="J10" s="318">
        <v>13.360000000000001</v>
      </c>
      <c r="K10" s="317">
        <v>0.74000000000000021</v>
      </c>
    </row>
    <row r="11" spans="1:11" ht="15.95" customHeight="1">
      <c r="A11" s="158" t="s">
        <v>3</v>
      </c>
      <c r="B11" s="303">
        <f>SUM(B7:B10)</f>
        <v>2706001</v>
      </c>
      <c r="C11" s="307">
        <f t="shared" ref="C11:E11" si="1">SUM(C7:C10)</f>
        <v>320265.33562107501</v>
      </c>
      <c r="D11" s="303">
        <f t="shared" si="1"/>
        <v>3541189.0626830086</v>
      </c>
      <c r="E11" s="304">
        <f t="shared" si="1"/>
        <v>1</v>
      </c>
      <c r="F11" s="326">
        <f>'5.1'!H28</f>
        <v>-4.8371368915685053E-2</v>
      </c>
      <c r="G11" s="324">
        <v>14.100000000000001</v>
      </c>
      <c r="H11" s="322">
        <v>19.8</v>
      </c>
      <c r="I11" s="322">
        <v>6.3</v>
      </c>
      <c r="J11" s="322">
        <v>13.360000000000001</v>
      </c>
      <c r="K11" s="321">
        <v>0.74000000000000021</v>
      </c>
    </row>
    <row r="12" spans="1:11" ht="15" customHeight="1">
      <c r="A12" s="101"/>
      <c r="B12" s="94"/>
      <c r="C12" s="513" t="s">
        <v>227</v>
      </c>
      <c r="D12" s="513"/>
      <c r="E12" s="513"/>
      <c r="F12" s="513"/>
      <c r="G12" s="516" t="s">
        <v>228</v>
      </c>
      <c r="H12" s="516"/>
      <c r="I12" s="516"/>
      <c r="J12" s="516"/>
      <c r="K12" s="516"/>
    </row>
    <row r="13" spans="1:11" ht="15" customHeight="1">
      <c r="A13" s="94"/>
      <c r="B13" s="94"/>
      <c r="C13" s="513"/>
      <c r="D13" s="513"/>
      <c r="E13" s="513"/>
      <c r="F13" s="513"/>
      <c r="G13" s="516" t="s">
        <v>229</v>
      </c>
      <c r="H13" s="516"/>
      <c r="I13" s="516"/>
      <c r="J13" s="516"/>
      <c r="K13" s="51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17" t="s">
        <v>259</v>
      </c>
      <c r="B16" s="517"/>
      <c r="C16" s="517"/>
      <c r="D16" s="517"/>
      <c r="E16" s="517"/>
      <c r="F16" s="517" t="s">
        <v>260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0"/>
      <c r="B18" s="514"/>
      <c r="C18" s="514"/>
      <c r="D18" s="120"/>
      <c r="E18" s="120"/>
      <c r="F18" s="120"/>
      <c r="G18" s="120"/>
      <c r="H18" s="514"/>
      <c r="I18" s="51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261</v>
      </c>
      <c r="B33" s="479"/>
      <c r="C33" s="479"/>
      <c r="D33" s="479"/>
      <c r="E33" s="479"/>
      <c r="F33" s="517" t="s">
        <v>64</v>
      </c>
      <c r="G33" s="517"/>
      <c r="H33" s="517"/>
      <c r="I33" s="517"/>
      <c r="J33" s="517"/>
      <c r="K33" s="517"/>
    </row>
    <row r="34" spans="1:11" ht="15" customHeight="1">
      <c r="A34" s="479"/>
      <c r="B34" s="479"/>
      <c r="C34" s="479"/>
      <c r="D34" s="479"/>
      <c r="E34" s="479"/>
      <c r="F34" s="517"/>
      <c r="G34" s="517"/>
      <c r="H34" s="517"/>
      <c r="I34" s="517"/>
      <c r="J34" s="517"/>
      <c r="K34" s="517"/>
    </row>
    <row r="35" spans="1:11" ht="15" customHeight="1">
      <c r="A35" s="120"/>
      <c r="B35" s="514"/>
      <c r="C35" s="514"/>
      <c r="D35" s="120"/>
      <c r="E35" s="121"/>
      <c r="F35" s="127"/>
      <c r="G35" s="127"/>
      <c r="H35" s="515"/>
      <c r="I35" s="51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"5.9 Spotřeba zemního plynu a teplota ovzduší: "&amp;(A3)</f>
        <v>5.9 Spotřeba zemního plynu a teplota ovzduší: III. čtvrtletí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18.75" customHeight="1">
      <c r="A3" s="512" t="str">
        <f>'3.1'!G5</f>
        <v>III. čtvrtletí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8"/>
      <c r="B4" s="251">
        <f>'3.1'!A4</f>
        <v>2025</v>
      </c>
      <c r="C4" s="506" t="s">
        <v>59</v>
      </c>
      <c r="D4" s="507"/>
      <c r="E4" s="507"/>
      <c r="F4" s="508"/>
      <c r="G4" s="506" t="s">
        <v>182</v>
      </c>
      <c r="H4" s="507"/>
      <c r="I4" s="507"/>
      <c r="J4" s="507"/>
      <c r="K4" s="507"/>
    </row>
    <row r="5" spans="1:11" ht="22.5" customHeight="1">
      <c r="A5" s="411"/>
      <c r="B5" s="510" t="s">
        <v>181</v>
      </c>
      <c r="C5" s="338"/>
      <c r="D5" s="339"/>
      <c r="E5" s="520" t="s">
        <v>265</v>
      </c>
      <c r="F5" s="521" t="s">
        <v>268</v>
      </c>
      <c r="G5" s="340" t="s">
        <v>61</v>
      </c>
      <c r="H5" s="341" t="s">
        <v>170</v>
      </c>
      <c r="I5" s="341" t="s">
        <v>171</v>
      </c>
      <c r="J5" s="341" t="s">
        <v>266</v>
      </c>
      <c r="K5" s="341" t="s">
        <v>267</v>
      </c>
    </row>
    <row r="6" spans="1:11" ht="24.95" customHeight="1">
      <c r="A6" s="412" t="s">
        <v>269</v>
      </c>
      <c r="B6" s="511"/>
      <c r="C6" s="220" t="s">
        <v>247</v>
      </c>
      <c r="D6" s="218" t="s">
        <v>248</v>
      </c>
      <c r="E6" s="476"/>
      <c r="F6" s="511"/>
      <c r="G6" s="343" t="s">
        <v>218</v>
      </c>
      <c r="H6" s="344" t="s">
        <v>218</v>
      </c>
      <c r="I6" s="344" t="s">
        <v>218</v>
      </c>
      <c r="J6" s="344" t="s">
        <v>218</v>
      </c>
      <c r="K6" s="344" t="s">
        <v>218</v>
      </c>
    </row>
    <row r="7" spans="1:11" ht="15.95" customHeight="1">
      <c r="A7" s="153" t="s">
        <v>307</v>
      </c>
      <c r="B7" s="129">
        <f>'5.2'!D34</f>
        <v>394364</v>
      </c>
      <c r="C7" s="306">
        <f>'5.2'!E34</f>
        <v>61280.689219289998</v>
      </c>
      <c r="D7" s="129">
        <f>'5.2'!F34</f>
        <v>675773.24853400898</v>
      </c>
      <c r="E7" s="300">
        <f>C7/$C$11</f>
        <v>6.9355191301640404E-2</v>
      </c>
      <c r="F7" s="325">
        <f>'5.2'!H34</f>
        <v>2.7511497123664297E-2</v>
      </c>
      <c r="G7" s="323">
        <f>AVERAGE('5.6'!G7,'5.7'!G7,'5.8'!G7)</f>
        <v>18.368207885304663</v>
      </c>
      <c r="H7" s="317">
        <f>MAX('5.6'!H7,'5.7'!H7,'5.8'!H7)</f>
        <v>28</v>
      </c>
      <c r="I7" s="317">
        <f>MIN('5.6'!I7,'5.7'!I7,'5.8'!I7)</f>
        <v>8</v>
      </c>
      <c r="J7" s="317">
        <f>AVERAGE('5.6'!J7,'5.7'!J7,'5.8'!J7)</f>
        <v>18.296630824372759</v>
      </c>
      <c r="K7" s="317">
        <f>G7-J7</f>
        <v>7.1577060931904413E-2</v>
      </c>
    </row>
    <row r="8" spans="1:11" ht="15.95" customHeight="1">
      <c r="A8" s="153" t="s">
        <v>84</v>
      </c>
      <c r="B8" s="129">
        <f>'5.3'!D34</f>
        <v>2191239</v>
      </c>
      <c r="C8" s="306">
        <f>'5.3'!E34</f>
        <v>738264.57627961121</v>
      </c>
      <c r="D8" s="129">
        <f>'5.3'!F34</f>
        <v>8137490.3222000003</v>
      </c>
      <c r="E8" s="300">
        <f t="shared" ref="E8:E10" si="0">C8/$C$11</f>
        <v>0.83554022598981081</v>
      </c>
      <c r="F8" s="325">
        <f>'5.3'!H34</f>
        <v>1.584722223873089E-2</v>
      </c>
      <c r="G8" s="323">
        <f>AVERAGE('5.6'!G8,'5.7'!G8,'5.8'!G8)</f>
        <v>16.697939068100357</v>
      </c>
      <c r="H8" s="318">
        <f>MAX('5.6'!H8,'5.7'!H8,'5.8'!H8)</f>
        <v>24.8</v>
      </c>
      <c r="I8" s="318">
        <f>MIN('5.6'!I8,'5.7'!I8,'5.8'!I8)</f>
        <v>6.3833333333333329</v>
      </c>
      <c r="J8" s="318">
        <f>AVERAGE('5.6'!J8,'5.7'!J8,'5.8'!J8)</f>
        <v>16.739097968936676</v>
      </c>
      <c r="K8" s="317">
        <f t="shared" ref="K8:K11" si="1">G8-J8</f>
        <v>-4.1158900836318679E-2</v>
      </c>
    </row>
    <row r="9" spans="1:11" ht="15.95" customHeight="1">
      <c r="A9" s="153" t="s">
        <v>314</v>
      </c>
      <c r="B9" s="129">
        <f>'5.4'!D34</f>
        <v>110930</v>
      </c>
      <c r="C9" s="306">
        <f>'5.4'!E34</f>
        <v>36530.434999999998</v>
      </c>
      <c r="D9" s="129">
        <f>'5.4'!F34</f>
        <v>403153.45145399997</v>
      </c>
      <c r="E9" s="300">
        <f t="shared" si="0"/>
        <v>4.1343779582681629E-2</v>
      </c>
      <c r="F9" s="325">
        <f>'5.4'!H34</f>
        <v>0.16164296776300596</v>
      </c>
      <c r="G9" s="323">
        <f>AVERAGE('5.6'!G9,'5.7'!G9,'5.8'!G9)</f>
        <v>16.261756272401435</v>
      </c>
      <c r="H9" s="318">
        <f>MAX('5.6'!H9,'5.7'!H9,'5.8'!H9)</f>
        <v>24</v>
      </c>
      <c r="I9" s="318">
        <f>MIN('5.6'!I9,'5.7'!I9,'5.8'!I9)</f>
        <v>5.6</v>
      </c>
      <c r="J9" s="318">
        <f>AVERAGE('5.6'!J9,'5.7'!J9,'5.8'!J9)</f>
        <v>16.300322580645162</v>
      </c>
      <c r="K9" s="317">
        <f t="shared" si="1"/>
        <v>-3.8566308243726866E-2</v>
      </c>
    </row>
    <row r="10" spans="1:11" ht="15.95" customHeight="1">
      <c r="A10" s="153" t="s">
        <v>31</v>
      </c>
      <c r="B10" s="129">
        <f>'5.5'!D34</f>
        <v>9468</v>
      </c>
      <c r="C10" s="306">
        <f>'5.5'!E34</f>
        <v>47501.838098999993</v>
      </c>
      <c r="D10" s="129">
        <f>'5.5'!F34</f>
        <v>522844.74770199996</v>
      </c>
      <c r="E10" s="300">
        <f t="shared" si="0"/>
        <v>5.3760803125867083E-2</v>
      </c>
      <c r="F10" s="325">
        <f>'5.5'!H34</f>
        <v>-0.30876644770447254</v>
      </c>
      <c r="G10" s="323">
        <f>AVERAGE('5.6'!G10,'5.7'!G10,'5.8'!G10)</f>
        <v>16.720430107526884</v>
      </c>
      <c r="H10" s="318">
        <f>MAX('5.6'!H10,'5.7'!H10,'5.8'!H10)</f>
        <v>24.7</v>
      </c>
      <c r="I10" s="318">
        <f>MIN('5.6'!I10,'5.7'!I10,'5.8'!I10)</f>
        <v>6.3</v>
      </c>
      <c r="J10" s="318">
        <f>AVERAGE('5.6'!J10,'5.7'!J10,'5.8'!J10)</f>
        <v>16.745806451612903</v>
      </c>
      <c r="K10" s="317">
        <f t="shared" si="1"/>
        <v>-2.5376344086019742E-2</v>
      </c>
    </row>
    <row r="11" spans="1:11" ht="15.95" customHeight="1">
      <c r="A11" s="158" t="s">
        <v>3</v>
      </c>
      <c r="B11" s="303">
        <f>'5.1'!D35</f>
        <v>2706001</v>
      </c>
      <c r="C11" s="307">
        <f>'5.1'!E35</f>
        <v>883577.53859790124</v>
      </c>
      <c r="D11" s="303">
        <f>'5.1'!F35</f>
        <v>9739261.7698900085</v>
      </c>
      <c r="E11" s="304">
        <f t="shared" ref="E11" si="2">SUM(E7:E10)</f>
        <v>0.99999999999999989</v>
      </c>
      <c r="F11" s="326">
        <f>'5.1'!H35</f>
        <v>-3.3586343911076819E-3</v>
      </c>
      <c r="G11" s="324">
        <f>AVERAGE('5.6'!G11,'5.7'!G11,'5.8'!G11)</f>
        <v>16.720430107526884</v>
      </c>
      <c r="H11" s="322">
        <f>MAX('5.6'!H11,'5.7'!H11,'5.8'!H11)</f>
        <v>24.7</v>
      </c>
      <c r="I11" s="322">
        <f>MIN('5.6'!I11,'5.7'!I11,'5.8'!I11)</f>
        <v>6.3</v>
      </c>
      <c r="J11" s="322">
        <f>AVERAGE('5.6'!J11,'5.7'!J11,'5.8'!J11)</f>
        <v>16.745806451612903</v>
      </c>
      <c r="K11" s="321">
        <f t="shared" si="1"/>
        <v>-2.5376344086019742E-2</v>
      </c>
    </row>
    <row r="12" spans="1:11" ht="15" customHeight="1">
      <c r="A12" s="101"/>
      <c r="B12" s="94"/>
      <c r="C12" s="513" t="s">
        <v>227</v>
      </c>
      <c r="D12" s="513"/>
      <c r="E12" s="513"/>
      <c r="F12" s="513"/>
      <c r="G12" s="516" t="s">
        <v>228</v>
      </c>
      <c r="H12" s="516"/>
      <c r="I12" s="516"/>
      <c r="J12" s="516"/>
      <c r="K12" s="516"/>
    </row>
    <row r="13" spans="1:11" ht="15" customHeight="1">
      <c r="A13" s="94"/>
      <c r="B13" s="94"/>
      <c r="C13" s="513"/>
      <c r="D13" s="513"/>
      <c r="E13" s="513"/>
      <c r="F13" s="513"/>
      <c r="G13" s="516" t="s">
        <v>229</v>
      </c>
      <c r="H13" s="516"/>
      <c r="I13" s="516"/>
      <c r="J13" s="516"/>
      <c r="K13" s="51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17" t="s">
        <v>259</v>
      </c>
      <c r="B16" s="517"/>
      <c r="C16" s="517"/>
      <c r="D16" s="517"/>
      <c r="E16" s="517"/>
      <c r="F16" s="517" t="s">
        <v>260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0"/>
      <c r="B18" s="519"/>
      <c r="C18" s="519"/>
      <c r="D18" s="120"/>
      <c r="E18" s="120"/>
      <c r="F18" s="120"/>
      <c r="G18" s="120"/>
      <c r="H18" s="519"/>
      <c r="I18" s="519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261</v>
      </c>
      <c r="B33" s="479"/>
      <c r="C33" s="479"/>
      <c r="D33" s="479"/>
      <c r="E33" s="479"/>
      <c r="F33" s="517" t="s">
        <v>64</v>
      </c>
      <c r="G33" s="517"/>
      <c r="H33" s="517"/>
      <c r="I33" s="517"/>
      <c r="J33" s="517"/>
      <c r="K33" s="517"/>
    </row>
    <row r="34" spans="1:11" ht="15" customHeight="1">
      <c r="A34" s="479"/>
      <c r="B34" s="479"/>
      <c r="C34" s="479"/>
      <c r="D34" s="479"/>
      <c r="E34" s="479"/>
      <c r="F34" s="517"/>
      <c r="G34" s="517"/>
      <c r="H34" s="517"/>
      <c r="I34" s="517"/>
      <c r="J34" s="517"/>
      <c r="K34" s="517"/>
    </row>
    <row r="35" spans="1:11" ht="15" customHeight="1">
      <c r="A35" s="120"/>
      <c r="B35" s="519"/>
      <c r="C35" s="519"/>
      <c r="D35" s="120"/>
      <c r="E35" s="121"/>
      <c r="F35" s="127"/>
      <c r="G35" s="127"/>
      <c r="H35" s="518"/>
      <c r="I35" s="518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231</v>
      </c>
    </row>
    <row r="2" spans="1:5" ht="6" customHeight="1"/>
    <row r="3" spans="1:5" ht="15">
      <c r="A3" s="364" t="str">
        <f>MID(E3,1,1+IF(MID(E3,2,1)&lt;&gt;" ",IF(MID(E3,3,1)&lt;&gt;" ",IF(MID(E3,4,1)&lt;&gt;" ",3,2),1),0))</f>
        <v>1</v>
      </c>
      <c r="B3" s="365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64" t="str">
        <f t="shared" ref="A4:A36" si="0">MID(E4,1,1+IF(MID(E4,2,1)&lt;&gt;" ",IF(MID(E4,3,1)&lt;&gt;" ",IF(MID(E4,4,1)&lt;&gt;" ",3,2),1),0))</f>
        <v>2</v>
      </c>
      <c r="B4" s="365" t="str">
        <f t="shared" ref="B4:B36" si="1">MID(E4,3+IF(MID(E4,2,1)&lt;&gt;" ",IF(MID(E4,3,1)&lt;&gt;" ",IF(MID(E4,4,1)&lt;&gt;" ",3,2),1),0),100)</f>
        <v>STRUČNÝ PŘEHLED ZA III. ČTVRTLETÍ 2025</v>
      </c>
      <c r="C4" s="48">
        <v>6</v>
      </c>
      <c r="E4" s="49" t="str">
        <f>'2'!A1</f>
        <v>2 STRUČNÝ PŘEHLED ZA III. ČTVRTLETÍ 2025</v>
      </c>
    </row>
    <row r="5" spans="1:5" ht="15">
      <c r="A5" s="364" t="str">
        <f t="shared" si="0"/>
        <v>3</v>
      </c>
      <c r="B5" s="365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64" t="str">
        <f t="shared" si="0"/>
        <v>3.1</v>
      </c>
      <c r="B6" s="365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64" t="str">
        <f t="shared" si="0"/>
        <v>3.2</v>
      </c>
      <c r="B7" s="365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64" t="str">
        <f t="shared" si="0"/>
        <v>4</v>
      </c>
      <c r="B8" s="365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64" t="str">
        <f t="shared" si="0"/>
        <v>4.1</v>
      </c>
      <c r="B9" s="365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64" t="str">
        <f t="shared" si="0"/>
        <v>4.2</v>
      </c>
      <c r="B10" s="365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64" t="str">
        <f t="shared" si="0"/>
        <v>4.3</v>
      </c>
      <c r="B11" s="365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64" t="str">
        <f t="shared" si="0"/>
        <v>5</v>
      </c>
      <c r="B12" s="365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64" t="str">
        <f t="shared" si="0"/>
        <v>5.1</v>
      </c>
      <c r="B13" s="365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64" t="str">
        <f t="shared" si="0"/>
        <v>5.2</v>
      </c>
      <c r="B14" s="365" t="str">
        <f t="shared" si="1"/>
        <v>Spotřeba zemního plynu u společnosti PPD</v>
      </c>
      <c r="C14" s="48">
        <v>13</v>
      </c>
      <c r="E14" s="51" t="str">
        <f>'5.2'!A1</f>
        <v>5.2 Spotřeba zemního plynu u společnosti PPD</v>
      </c>
    </row>
    <row r="15" spans="1:5" ht="15">
      <c r="A15" s="364" t="str">
        <f t="shared" si="0"/>
        <v>5.3</v>
      </c>
      <c r="B15" s="365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64" t="str">
        <f t="shared" si="0"/>
        <v>5.4</v>
      </c>
      <c r="B16" s="365" t="str">
        <f t="shared" si="1"/>
        <v>Spotřeba zemního plynu u společnosti GasD</v>
      </c>
      <c r="C16" s="48">
        <v>15</v>
      </c>
      <c r="E16" s="52" t="str">
        <f>'5.4'!A1</f>
        <v>5.4 Spotřeba zemního plynu u společnosti GasD</v>
      </c>
    </row>
    <row r="17" spans="1:5" ht="15">
      <c r="A17" s="364" t="str">
        <f t="shared" si="0"/>
        <v>5.5</v>
      </c>
      <c r="B17" s="365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64" t="str">
        <f t="shared" si="0"/>
        <v>5.6</v>
      </c>
      <c r="B18" s="365" t="str">
        <f t="shared" si="1"/>
        <v>Spotřeba zemního plynu a teplota ovzduší: červenec</v>
      </c>
      <c r="C18" s="48">
        <v>17</v>
      </c>
      <c r="E18" s="50" t="str">
        <f>'5.6'!A1</f>
        <v>5.6 Spotřeba zemního plynu a teplota ovzduší: červenec</v>
      </c>
    </row>
    <row r="19" spans="1:5" ht="15">
      <c r="A19" s="364" t="str">
        <f t="shared" si="0"/>
        <v>5.7</v>
      </c>
      <c r="B19" s="365" t="str">
        <f t="shared" si="1"/>
        <v>Spotřeba zemního plynu a teplota ovzduší: srpen</v>
      </c>
      <c r="C19" s="48">
        <v>18</v>
      </c>
      <c r="E19" s="50" t="str">
        <f>'5.7'!A1</f>
        <v>5.7 Spotřeba zemního plynu a teplota ovzduší: srpen</v>
      </c>
    </row>
    <row r="20" spans="1:5" ht="15">
      <c r="A20" s="364" t="str">
        <f t="shared" si="0"/>
        <v>5.8</v>
      </c>
      <c r="B20" s="365" t="str">
        <f t="shared" si="1"/>
        <v>Spotřeba zemního plynu a teplota ovzduší: září</v>
      </c>
      <c r="C20" s="48">
        <v>19</v>
      </c>
      <c r="E20" s="50" t="str">
        <f>'5.8'!A1</f>
        <v>5.8 Spotřeba zemního plynu a teplota ovzduší: září</v>
      </c>
    </row>
    <row r="21" spans="1:5" ht="15">
      <c r="A21" s="364" t="str">
        <f t="shared" si="0"/>
        <v>5.9</v>
      </c>
      <c r="B21" s="365" t="str">
        <f t="shared" si="1"/>
        <v>Spotřeba zemního plynu a teplota ovzduší: III. čtvrtletí</v>
      </c>
      <c r="C21" s="48">
        <v>20</v>
      </c>
      <c r="E21" s="50" t="str">
        <f>'5.9'!A1</f>
        <v>5.9 Spotřeba zemního plynu a teplota ovzduší: III. čtvrtletí</v>
      </c>
    </row>
    <row r="22" spans="1:5" ht="15">
      <c r="A22" s="364" t="str">
        <f t="shared" si="0"/>
        <v>5.10</v>
      </c>
      <c r="B22" s="365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64" t="str">
        <f t="shared" si="0"/>
        <v>6</v>
      </c>
      <c r="B23" s="365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64" t="str">
        <f t="shared" si="0"/>
        <v>6.1</v>
      </c>
      <c r="B24" s="365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64" t="str">
        <f t="shared" si="0"/>
        <v>6.2</v>
      </c>
      <c r="B25" s="365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64" t="str">
        <f t="shared" si="0"/>
        <v>6.3</v>
      </c>
      <c r="B26" s="365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64" t="str">
        <f t="shared" si="0"/>
        <v>6.4</v>
      </c>
      <c r="B27" s="365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64" t="str">
        <f t="shared" si="0"/>
        <v>6.5</v>
      </c>
      <c r="B28" s="365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64" t="str">
        <f t="shared" si="0"/>
        <v>6.6</v>
      </c>
      <c r="B29" s="365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64" t="str">
        <f t="shared" si="0"/>
        <v>6.7</v>
      </c>
      <c r="B30" s="365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64" t="str">
        <f t="shared" si="0"/>
        <v>6.8</v>
      </c>
      <c r="B31" s="365" t="str">
        <f t="shared" si="1"/>
        <v>Spotřeba zemního plynu a teplota ovzduší podle krajů: červenec</v>
      </c>
      <c r="C31" s="48">
        <v>29</v>
      </c>
      <c r="E31" s="50" t="str">
        <f>'6.8'!A1</f>
        <v>6.8 Spotřeba zemního plynu a teplota ovzduší podle krajů: červenec</v>
      </c>
    </row>
    <row r="32" spans="1:5" ht="15">
      <c r="A32" s="364" t="str">
        <f t="shared" si="0"/>
        <v>6.9</v>
      </c>
      <c r="B32" s="365" t="str">
        <f t="shared" si="1"/>
        <v>Spotřeba zemního plynu a teplota ovzduší podle krajů: srpen</v>
      </c>
      <c r="C32" s="48">
        <v>30</v>
      </c>
      <c r="E32" s="50" t="str">
        <f>'6.9'!A1</f>
        <v>6.9 Spotřeba zemního plynu a teplota ovzduší podle krajů: srpen</v>
      </c>
    </row>
    <row r="33" spans="1:5" ht="15">
      <c r="A33" s="364" t="str">
        <f t="shared" si="0"/>
        <v>6.10</v>
      </c>
      <c r="B33" s="365" t="str">
        <f t="shared" si="1"/>
        <v>Spotřeba zemního plynu a teplota ovzduší podle krajů: září</v>
      </c>
      <c r="C33" s="48">
        <v>31</v>
      </c>
      <c r="E33" s="50" t="str">
        <f>'6.10'!A1</f>
        <v>6.10 Spotřeba zemního plynu a teplota ovzduší podle krajů: září</v>
      </c>
    </row>
    <row r="34" spans="1:5" ht="15">
      <c r="A34" s="364" t="str">
        <f t="shared" si="0"/>
        <v>6.11</v>
      </c>
      <c r="B34" s="365" t="str">
        <f t="shared" si="1"/>
        <v>Spotřeba zemního plynu a teplota ovzduší podle krajů: III. čtvrtletí</v>
      </c>
      <c r="C34" s="48">
        <v>32</v>
      </c>
      <c r="E34" s="50" t="str">
        <f>'6.11'!A1</f>
        <v>6.11 Spotřeba zemního plynu a teplota ovzduší podle krajů: III. čtvrtletí</v>
      </c>
    </row>
    <row r="35" spans="1:5" ht="15">
      <c r="A35" s="364" t="str">
        <f t="shared" si="0"/>
        <v>6.12</v>
      </c>
      <c r="B35" s="365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64" t="str">
        <f t="shared" si="0"/>
        <v>7</v>
      </c>
      <c r="B36" s="365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topLeftCell="A16" zoomScaleNormal="100" zoomScaleSheetLayoutView="100" workbookViewId="0">
      <selection activeCell="C1" sqref="C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50" t="s">
        <v>286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5" ht="6" customHeight="1">
      <c r="A2" s="523"/>
      <c r="B2" s="524"/>
      <c r="C2" s="524"/>
      <c r="D2" s="524"/>
      <c r="E2" s="524"/>
      <c r="F2" s="524"/>
      <c r="G2" s="524"/>
      <c r="H2" s="524"/>
      <c r="I2" s="524"/>
      <c r="J2" s="207"/>
      <c r="K2" s="206"/>
    </row>
    <row r="3" spans="1:15" ht="20.100000000000001" customHeight="1">
      <c r="A3" s="329">
        <f>'3.1'!A4</f>
        <v>2025</v>
      </c>
      <c r="B3" s="456" t="s">
        <v>262</v>
      </c>
      <c r="C3" s="459"/>
      <c r="D3" s="459"/>
      <c r="E3" s="459"/>
      <c r="F3" s="458"/>
      <c r="G3" s="456" t="s">
        <v>263</v>
      </c>
      <c r="H3" s="459"/>
      <c r="I3" s="459"/>
      <c r="J3" s="459"/>
      <c r="K3" s="459"/>
    </row>
    <row r="4" spans="1:15" ht="67.5" customHeight="1">
      <c r="A4" s="330"/>
      <c r="B4" s="331" t="s">
        <v>307</v>
      </c>
      <c r="C4" s="233" t="s">
        <v>86</v>
      </c>
      <c r="D4" s="233" t="s">
        <v>316</v>
      </c>
      <c r="E4" s="233" t="s">
        <v>81</v>
      </c>
      <c r="F4" s="332" t="s">
        <v>80</v>
      </c>
      <c r="G4" s="331" t="s">
        <v>307</v>
      </c>
      <c r="H4" s="233" t="s">
        <v>86</v>
      </c>
      <c r="I4" s="233" t="s">
        <v>316</v>
      </c>
      <c r="J4" s="233" t="s">
        <v>81</v>
      </c>
      <c r="K4" s="233" t="s">
        <v>80</v>
      </c>
    </row>
    <row r="5" spans="1:15" ht="18" customHeight="1">
      <c r="A5" s="175" t="s">
        <v>157</v>
      </c>
      <c r="B5" s="239">
        <v>121014.50490460399</v>
      </c>
      <c r="C5" s="234">
        <v>839935.16501365206</v>
      </c>
      <c r="D5" s="235">
        <v>41244.190001000003</v>
      </c>
      <c r="E5" s="235">
        <v>41929.285950000005</v>
      </c>
      <c r="F5" s="241">
        <v>1044123.1458692561</v>
      </c>
      <c r="G5" s="327">
        <v>1319398.3617030489</v>
      </c>
      <c r="H5" s="235">
        <v>9128071.6472999994</v>
      </c>
      <c r="I5" s="235">
        <v>449486.29685500002</v>
      </c>
      <c r="J5" s="235">
        <v>456802.89414699998</v>
      </c>
      <c r="K5" s="235">
        <v>11353759.200005049</v>
      </c>
      <c r="L5" s="56"/>
      <c r="M5" s="57"/>
      <c r="N5" s="57"/>
      <c r="O5" s="57"/>
    </row>
    <row r="6" spans="1:15" ht="18" customHeight="1">
      <c r="A6" s="175" t="s">
        <v>158</v>
      </c>
      <c r="B6" s="239">
        <v>111187.657306514</v>
      </c>
      <c r="C6" s="235">
        <v>772580.60641547001</v>
      </c>
      <c r="D6" s="235">
        <v>37705.031000000003</v>
      </c>
      <c r="E6" s="235">
        <v>40464.472119999991</v>
      </c>
      <c r="F6" s="241">
        <v>961937.76684198389</v>
      </c>
      <c r="G6" s="327">
        <v>1210666.0906788108</v>
      </c>
      <c r="H6" s="235">
        <v>8377379.330430001</v>
      </c>
      <c r="I6" s="235">
        <v>410008.61575699999</v>
      </c>
      <c r="J6" s="235">
        <v>441570.57712799998</v>
      </c>
      <c r="K6" s="235">
        <v>10439624.613993812</v>
      </c>
      <c r="L6" s="58"/>
      <c r="M6" s="57"/>
      <c r="N6" s="57"/>
      <c r="O6" s="57"/>
    </row>
    <row r="7" spans="1:15" ht="18" customHeight="1">
      <c r="A7" s="178" t="s">
        <v>159</v>
      </c>
      <c r="B7" s="240">
        <v>82184.998163252996</v>
      </c>
      <c r="C7" s="238">
        <v>600997.76266341493</v>
      </c>
      <c r="D7" s="238">
        <v>29971.272999000001</v>
      </c>
      <c r="E7" s="238">
        <v>37841.401009999994</v>
      </c>
      <c r="F7" s="242">
        <v>750995.43483566795</v>
      </c>
      <c r="G7" s="328">
        <v>899307.62059006898</v>
      </c>
      <c r="H7" s="238">
        <v>6549657.5211099992</v>
      </c>
      <c r="I7" s="238">
        <v>328374.59953800001</v>
      </c>
      <c r="J7" s="238">
        <v>414264.41893400002</v>
      </c>
      <c r="K7" s="238">
        <v>8191604.1601720685</v>
      </c>
      <c r="L7" s="59"/>
      <c r="M7" s="57"/>
      <c r="N7" s="57"/>
      <c r="O7" s="57"/>
    </row>
    <row r="8" spans="1:15" ht="18" customHeight="1">
      <c r="A8" s="175" t="s">
        <v>160</v>
      </c>
      <c r="B8" s="239">
        <v>47676.063473109993</v>
      </c>
      <c r="C8" s="235">
        <v>394282.71264928294</v>
      </c>
      <c r="D8" s="235">
        <v>19917.503999999997</v>
      </c>
      <c r="E8" s="235">
        <v>41021.904009999998</v>
      </c>
      <c r="F8" s="241">
        <v>502898.18413239293</v>
      </c>
      <c r="G8" s="327">
        <v>522248.45215999498</v>
      </c>
      <c r="H8" s="235">
        <v>4319374.5014999993</v>
      </c>
      <c r="I8" s="235">
        <v>218776.37962699996</v>
      </c>
      <c r="J8" s="235">
        <v>448918.38632499997</v>
      </c>
      <c r="K8" s="235">
        <v>5509317.719611994</v>
      </c>
      <c r="L8" s="58"/>
      <c r="M8" s="57"/>
      <c r="N8" s="57"/>
      <c r="O8" s="57"/>
    </row>
    <row r="9" spans="1:15" ht="18" customHeight="1">
      <c r="A9" s="175" t="s">
        <v>161</v>
      </c>
      <c r="B9" s="239">
        <v>35214.873700308999</v>
      </c>
      <c r="C9" s="235">
        <v>328063.92360386596</v>
      </c>
      <c r="D9" s="235">
        <v>16147.642</v>
      </c>
      <c r="E9" s="235">
        <v>35217.449009999997</v>
      </c>
      <c r="F9" s="241">
        <v>414643.88831417495</v>
      </c>
      <c r="G9" s="327">
        <v>385969.22619399201</v>
      </c>
      <c r="H9" s="235">
        <v>3600699.9432600001</v>
      </c>
      <c r="I9" s="235">
        <v>177907.95695999998</v>
      </c>
      <c r="J9" s="235">
        <v>386155.47469199996</v>
      </c>
      <c r="K9" s="235">
        <v>4550732.6011059918</v>
      </c>
      <c r="L9" s="58"/>
      <c r="M9" s="57"/>
      <c r="N9" s="57"/>
      <c r="O9" s="57"/>
    </row>
    <row r="10" spans="1:15" ht="18" customHeight="1">
      <c r="A10" s="178" t="s">
        <v>162</v>
      </c>
      <c r="B10" s="240">
        <v>19753.05161626</v>
      </c>
      <c r="C10" s="238">
        <v>244079.448667708</v>
      </c>
      <c r="D10" s="238">
        <v>10629.701000000003</v>
      </c>
      <c r="E10" s="238">
        <v>24947.001100000001</v>
      </c>
      <c r="F10" s="242">
        <v>299409.20238396799</v>
      </c>
      <c r="G10" s="328">
        <v>216060.36682600103</v>
      </c>
      <c r="H10" s="238">
        <v>2673884.4112299997</v>
      </c>
      <c r="I10" s="238">
        <v>116537.94613400001</v>
      </c>
      <c r="J10" s="238">
        <v>272628.45528399991</v>
      </c>
      <c r="K10" s="238">
        <v>3279111.1794740008</v>
      </c>
      <c r="L10" s="58"/>
      <c r="M10" s="57"/>
      <c r="N10" s="57"/>
      <c r="O10" s="57"/>
    </row>
    <row r="11" spans="1:15" ht="18" customHeight="1">
      <c r="A11" s="175" t="s">
        <v>163</v>
      </c>
      <c r="B11" s="239">
        <v>18171.521880729</v>
      </c>
      <c r="C11" s="235">
        <v>231294.20180670902</v>
      </c>
      <c r="D11" s="235">
        <v>10883.341001000001</v>
      </c>
      <c r="E11" s="235">
        <v>34545.983</v>
      </c>
      <c r="F11" s="241">
        <v>294895.04768843803</v>
      </c>
      <c r="G11" s="327">
        <v>199196.299529004</v>
      </c>
      <c r="H11" s="235">
        <v>2541158.1353500001</v>
      </c>
      <c r="I11" s="235">
        <v>119752.166843</v>
      </c>
      <c r="J11" s="235">
        <v>379851.60173200001</v>
      </c>
      <c r="K11" s="235">
        <v>3239958.2034540037</v>
      </c>
      <c r="L11" s="58"/>
      <c r="M11" s="57"/>
      <c r="N11" s="57"/>
      <c r="O11" s="57"/>
    </row>
    <row r="12" spans="1:15" ht="18" customHeight="1">
      <c r="A12" s="175" t="s">
        <v>164</v>
      </c>
      <c r="B12" s="239">
        <v>18339.85515444</v>
      </c>
      <c r="C12" s="235">
        <v>226198.08793594799</v>
      </c>
      <c r="D12" s="235">
        <v>12372.052999000001</v>
      </c>
      <c r="E12" s="235">
        <v>11507.159199000003</v>
      </c>
      <c r="F12" s="241">
        <v>268417.15528838802</v>
      </c>
      <c r="G12" s="327">
        <v>202332.16865399698</v>
      </c>
      <c r="H12" s="235">
        <v>2492161.0205000001</v>
      </c>
      <c r="I12" s="235">
        <v>136546.44790200001</v>
      </c>
      <c r="J12" s="235">
        <v>127074.866697</v>
      </c>
      <c r="K12" s="235">
        <v>2958114.5037529971</v>
      </c>
      <c r="L12" s="58"/>
      <c r="M12" s="57"/>
      <c r="N12" s="57"/>
      <c r="O12" s="57"/>
    </row>
    <row r="13" spans="1:15" ht="18" customHeight="1">
      <c r="A13" s="178" t="s">
        <v>165</v>
      </c>
      <c r="B13" s="240">
        <v>24769.312184121001</v>
      </c>
      <c r="C13" s="238">
        <v>280772.28653695399</v>
      </c>
      <c r="D13" s="238">
        <v>13275.040999999999</v>
      </c>
      <c r="E13" s="238">
        <v>1448.6958999999993</v>
      </c>
      <c r="F13" s="242">
        <v>320265.33562107501</v>
      </c>
      <c r="G13" s="328">
        <v>274244.780351008</v>
      </c>
      <c r="H13" s="238">
        <v>3104171.1663500001</v>
      </c>
      <c r="I13" s="238">
        <v>146854.83670899997</v>
      </c>
      <c r="J13" s="238">
        <v>15918.27927299998</v>
      </c>
      <c r="K13" s="238">
        <v>3541189.0626830081</v>
      </c>
      <c r="L13" s="58"/>
      <c r="M13" s="57"/>
      <c r="N13" s="57"/>
      <c r="O13" s="57"/>
    </row>
    <row r="14" spans="1:15" ht="18" customHeight="1">
      <c r="A14" s="175" t="s">
        <v>166</v>
      </c>
      <c r="B14" s="239"/>
      <c r="C14" s="235"/>
      <c r="D14" s="235"/>
      <c r="E14" s="235"/>
      <c r="F14" s="241"/>
      <c r="G14" s="327"/>
      <c r="H14" s="235"/>
      <c r="I14" s="235"/>
      <c r="J14" s="235"/>
      <c r="K14" s="235"/>
      <c r="L14" s="58"/>
      <c r="M14" s="57"/>
      <c r="N14" s="57"/>
      <c r="O14" s="57"/>
    </row>
    <row r="15" spans="1:15" ht="18" customHeight="1">
      <c r="A15" s="175" t="s">
        <v>167</v>
      </c>
      <c r="B15" s="239"/>
      <c r="C15" s="235"/>
      <c r="D15" s="235"/>
      <c r="E15" s="235"/>
      <c r="F15" s="241"/>
      <c r="G15" s="327"/>
      <c r="H15" s="235"/>
      <c r="I15" s="235"/>
      <c r="J15" s="235"/>
      <c r="K15" s="235"/>
      <c r="L15" s="58"/>
      <c r="M15" s="57"/>
      <c r="N15" s="57"/>
      <c r="O15" s="57"/>
    </row>
    <row r="16" spans="1:15" ht="18" customHeight="1">
      <c r="A16" s="178" t="s">
        <v>168</v>
      </c>
      <c r="B16" s="240"/>
      <c r="C16" s="238"/>
      <c r="D16" s="238"/>
      <c r="E16" s="238"/>
      <c r="F16" s="242"/>
      <c r="G16" s="328"/>
      <c r="H16" s="238"/>
      <c r="I16" s="238"/>
      <c r="J16" s="238"/>
      <c r="K16" s="238"/>
      <c r="L16" s="58"/>
      <c r="M16" s="57"/>
      <c r="N16" s="57"/>
      <c r="O16" s="57"/>
    </row>
    <row r="17" spans="1:11" ht="18" customHeight="1">
      <c r="A17" s="175" t="s">
        <v>47</v>
      </c>
      <c r="B17" s="239">
        <f>SUM(B5:B7)</f>
        <v>314387.16037437099</v>
      </c>
      <c r="C17" s="234">
        <f>SUM(C5:C7)</f>
        <v>2213513.5340925371</v>
      </c>
      <c r="D17" s="234">
        <f t="shared" ref="D17:J17" si="0">SUM(D5:D7)</f>
        <v>108920.49400000001</v>
      </c>
      <c r="E17" s="234">
        <f t="shared" si="0"/>
        <v>120235.15907999998</v>
      </c>
      <c r="F17" s="243">
        <f t="shared" si="0"/>
        <v>2757056.3475469081</v>
      </c>
      <c r="G17" s="239">
        <f t="shared" si="0"/>
        <v>3429372.0729719284</v>
      </c>
      <c r="H17" s="234">
        <f t="shared" si="0"/>
        <v>24055108.498839997</v>
      </c>
      <c r="I17" s="234">
        <f t="shared" si="0"/>
        <v>1187869.5121500001</v>
      </c>
      <c r="J17" s="234">
        <f t="shared" si="0"/>
        <v>1312637.8902089999</v>
      </c>
      <c r="K17" s="234">
        <f>SUM(K5:K7)</f>
        <v>29984987.974170931</v>
      </c>
    </row>
    <row r="18" spans="1:11" ht="18" customHeight="1">
      <c r="A18" s="175" t="s">
        <v>55</v>
      </c>
      <c r="B18" s="239">
        <f>SUM(B8:B10)</f>
        <v>102643.98878967899</v>
      </c>
      <c r="C18" s="234">
        <f>SUM(C8:C10)</f>
        <v>966426.08492085687</v>
      </c>
      <c r="D18" s="234">
        <f t="shared" ref="D18:J18" si="1">SUM(D8:D10)</f>
        <v>46694.846999999994</v>
      </c>
      <c r="E18" s="234">
        <f t="shared" si="1"/>
        <v>101186.35412</v>
      </c>
      <c r="F18" s="243">
        <f t="shared" si="1"/>
        <v>1216951.274830536</v>
      </c>
      <c r="G18" s="239">
        <f t="shared" si="1"/>
        <v>1124278.045179988</v>
      </c>
      <c r="H18" s="234">
        <f t="shared" si="1"/>
        <v>10593958.85599</v>
      </c>
      <c r="I18" s="234">
        <f t="shared" si="1"/>
        <v>513222.28272099997</v>
      </c>
      <c r="J18" s="234">
        <f t="shared" si="1"/>
        <v>1107702.3163009998</v>
      </c>
      <c r="K18" s="234">
        <f>SUM(K8:K10)</f>
        <v>13339161.500191987</v>
      </c>
    </row>
    <row r="19" spans="1:11" ht="18" customHeight="1">
      <c r="A19" s="175" t="s">
        <v>62</v>
      </c>
      <c r="B19" s="239">
        <f>SUM(B11:B13)</f>
        <v>61280.689219290005</v>
      </c>
      <c r="C19" s="234">
        <f>SUM(C11:C13)</f>
        <v>738264.57627961098</v>
      </c>
      <c r="D19" s="234">
        <f t="shared" ref="D19:J19" si="2">SUM(D11:D13)</f>
        <v>36530.434999999998</v>
      </c>
      <c r="E19" s="234">
        <f t="shared" si="2"/>
        <v>47501.838099000001</v>
      </c>
      <c r="F19" s="243">
        <f t="shared" si="2"/>
        <v>883577.53859790112</v>
      </c>
      <c r="G19" s="239">
        <f t="shared" si="2"/>
        <v>675773.24853400898</v>
      </c>
      <c r="H19" s="234">
        <f t="shared" si="2"/>
        <v>8137490.3222000003</v>
      </c>
      <c r="I19" s="234">
        <f t="shared" si="2"/>
        <v>403153.45145399997</v>
      </c>
      <c r="J19" s="234">
        <f t="shared" si="2"/>
        <v>522844.74770199996</v>
      </c>
      <c r="K19" s="234">
        <f>SUM(K11:K13)</f>
        <v>9739261.7698900085</v>
      </c>
    </row>
    <row r="20" spans="1:11" ht="18" customHeight="1">
      <c r="A20" s="178" t="s">
        <v>56</v>
      </c>
      <c r="B20" s="397">
        <f>SUM(B14:B16)</f>
        <v>0</v>
      </c>
      <c r="C20" s="398">
        <f>SUM(C14:C16)</f>
        <v>0</v>
      </c>
      <c r="D20" s="398">
        <f t="shared" ref="D20:J20" si="3">SUM(D14:D16)</f>
        <v>0</v>
      </c>
      <c r="E20" s="398">
        <f t="shared" si="3"/>
        <v>0</v>
      </c>
      <c r="F20" s="399">
        <f t="shared" si="3"/>
        <v>0</v>
      </c>
      <c r="G20" s="397">
        <f t="shared" si="3"/>
        <v>0</v>
      </c>
      <c r="H20" s="398">
        <f t="shared" si="3"/>
        <v>0</v>
      </c>
      <c r="I20" s="398">
        <f t="shared" si="3"/>
        <v>0</v>
      </c>
      <c r="J20" s="398">
        <f t="shared" si="3"/>
        <v>0</v>
      </c>
      <c r="K20" s="398">
        <f>SUM(K14:K16)</f>
        <v>0</v>
      </c>
    </row>
    <row r="21" spans="1:11" ht="18" customHeight="1">
      <c r="A21" s="175" t="s">
        <v>57</v>
      </c>
      <c r="B21" s="239">
        <f>SUM(B5:B10)</f>
        <v>417031.14916405</v>
      </c>
      <c r="C21" s="234">
        <f>SUM(C5:C10)</f>
        <v>3179939.6190133938</v>
      </c>
      <c r="D21" s="234">
        <f t="shared" ref="D21:J21" si="4">SUM(D5:D10)</f>
        <v>155615.34100000001</v>
      </c>
      <c r="E21" s="234">
        <f t="shared" si="4"/>
        <v>221421.51319999999</v>
      </c>
      <c r="F21" s="243">
        <f t="shared" si="4"/>
        <v>3974007.6223774441</v>
      </c>
      <c r="G21" s="239">
        <f t="shared" si="4"/>
        <v>4553650.1181519162</v>
      </c>
      <c r="H21" s="234">
        <f t="shared" si="4"/>
        <v>34649067.354829997</v>
      </c>
      <c r="I21" s="234">
        <f t="shared" si="4"/>
        <v>1701091.7948710001</v>
      </c>
      <c r="J21" s="234">
        <f t="shared" si="4"/>
        <v>2420340.2065099999</v>
      </c>
      <c r="K21" s="234">
        <f>SUM(K5:K10)</f>
        <v>43324149.474362917</v>
      </c>
    </row>
    <row r="22" spans="1:11" ht="18" customHeight="1">
      <c r="A22" s="178" t="s">
        <v>58</v>
      </c>
      <c r="B22" s="397">
        <f>SUM(B11:B16)</f>
        <v>61280.689219290005</v>
      </c>
      <c r="C22" s="398">
        <f>SUM(C11:C16)</f>
        <v>738264.57627961098</v>
      </c>
      <c r="D22" s="398">
        <f t="shared" ref="D22:J22" si="5">SUM(D11:D16)</f>
        <v>36530.434999999998</v>
      </c>
      <c r="E22" s="398">
        <f t="shared" si="5"/>
        <v>47501.838099000001</v>
      </c>
      <c r="F22" s="399">
        <f t="shared" si="5"/>
        <v>883577.53859790112</v>
      </c>
      <c r="G22" s="397">
        <f t="shared" si="5"/>
        <v>675773.24853400898</v>
      </c>
      <c r="H22" s="398">
        <f t="shared" si="5"/>
        <v>8137490.3222000003</v>
      </c>
      <c r="I22" s="398">
        <f t="shared" si="5"/>
        <v>403153.45145399997</v>
      </c>
      <c r="J22" s="398">
        <f t="shared" si="5"/>
        <v>522844.74770199996</v>
      </c>
      <c r="K22" s="398">
        <f>SUM(K11:K16)</f>
        <v>9739261.7698900085</v>
      </c>
    </row>
    <row r="23" spans="1:11" ht="18" customHeight="1">
      <c r="A23" s="215" t="s">
        <v>169</v>
      </c>
      <c r="B23" s="400">
        <f>SUM(B5:B16)</f>
        <v>478311.83838333999</v>
      </c>
      <c r="C23" s="401">
        <f>SUM(C5:C16)</f>
        <v>3918204.1952930046</v>
      </c>
      <c r="D23" s="401">
        <f t="shared" ref="D23:J23" si="6">SUM(D5:D16)</f>
        <v>192145.77600000001</v>
      </c>
      <c r="E23" s="401">
        <f t="shared" si="6"/>
        <v>268923.35129899997</v>
      </c>
      <c r="F23" s="402">
        <f t="shared" si="6"/>
        <v>4857585.1609753445</v>
      </c>
      <c r="G23" s="400">
        <f t="shared" si="6"/>
        <v>5229423.3666859251</v>
      </c>
      <c r="H23" s="401">
        <f t="shared" si="6"/>
        <v>42786557.677029997</v>
      </c>
      <c r="I23" s="401">
        <f t="shared" si="6"/>
        <v>2104245.2463250002</v>
      </c>
      <c r="J23" s="401">
        <f t="shared" si="6"/>
        <v>2943184.9542119997</v>
      </c>
      <c r="K23" s="401">
        <f>SUM(K5:K16)</f>
        <v>53063411.244252928</v>
      </c>
    </row>
    <row r="25" spans="1:11" ht="12" customHeight="1">
      <c r="A25" s="522" t="s">
        <v>264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>PPD</v>
      </c>
      <c r="F30" s="63" t="str">
        <f t="shared" ref="F30:H30" si="7">C4</f>
        <v xml:space="preserve"> GasNet</v>
      </c>
      <c r="G30" s="63" t="str">
        <f t="shared" si="7"/>
        <v xml:space="preserve"> GasD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314387.16037437099</v>
      </c>
      <c r="F31" s="12">
        <f t="shared" si="8"/>
        <v>2213513.5340925371</v>
      </c>
      <c r="G31" s="12">
        <f t="shared" si="8"/>
        <v>108920.49400000001</v>
      </c>
      <c r="H31" s="12">
        <f t="shared" si="8"/>
        <v>120235.15907999998</v>
      </c>
    </row>
    <row r="32" spans="1:11" ht="12" customHeight="1">
      <c r="D32" s="12" t="str">
        <f t="shared" ref="D32:D34" si="9">A18</f>
        <v>II. čtvrtletí</v>
      </c>
      <c r="E32" s="12">
        <f t="shared" si="8"/>
        <v>102643.98878967899</v>
      </c>
      <c r="F32" s="12">
        <f t="shared" si="8"/>
        <v>966426.08492085687</v>
      </c>
      <c r="G32" s="12">
        <f t="shared" si="8"/>
        <v>46694.846999999994</v>
      </c>
      <c r="H32" s="12">
        <f t="shared" si="8"/>
        <v>101186.35412</v>
      </c>
    </row>
    <row r="33" spans="4:8" ht="12" customHeight="1">
      <c r="D33" s="12" t="str">
        <f t="shared" si="9"/>
        <v>III. čtvrtletí</v>
      </c>
      <c r="E33" s="12">
        <f t="shared" si="8"/>
        <v>61280.689219290005</v>
      </c>
      <c r="F33" s="12">
        <f t="shared" si="8"/>
        <v>738264.57627961098</v>
      </c>
      <c r="G33" s="12">
        <f t="shared" si="8"/>
        <v>36530.434999999998</v>
      </c>
      <c r="H33" s="12">
        <f t="shared" si="8"/>
        <v>47501.838099000001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276</v>
      </c>
    </row>
    <row r="2" spans="1:39" s="102" customFormat="1" ht="18">
      <c r="A2" s="505" t="s">
        <v>287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39" ht="6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39" ht="12.95" customHeight="1">
      <c r="A4" s="497" t="s">
        <v>34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39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39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39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39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31" t="str">
        <f>'3.1'!D5</f>
        <v>Červenec</v>
      </c>
      <c r="B9" s="431"/>
      <c r="C9" s="163" t="s">
        <v>4</v>
      </c>
      <c r="D9" s="305">
        <v>75</v>
      </c>
      <c r="E9" s="301">
        <v>6576.2331199999999</v>
      </c>
      <c r="F9" s="301">
        <v>72358.315962000008</v>
      </c>
      <c r="G9" s="302">
        <f>E9/$E$14</f>
        <v>0.66793000708809813</v>
      </c>
      <c r="H9" s="302">
        <f>(E9-I9)/I9</f>
        <v>0.64702266303441502</v>
      </c>
      <c r="I9" s="305">
        <v>3992.8006260000002</v>
      </c>
      <c r="J9" s="301">
        <v>43557.462033000003</v>
      </c>
      <c r="K9" s="302">
        <f>I9/$I$14</f>
        <v>0.52544999967893047</v>
      </c>
      <c r="N9" s="77"/>
      <c r="O9" s="77"/>
      <c r="P9" s="77"/>
      <c r="Q9" s="77"/>
      <c r="R9" s="77"/>
      <c r="S9" s="77"/>
      <c r="T9" s="77"/>
      <c r="U9" s="103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3"/>
    </row>
    <row r="10" spans="1:39" ht="11.1" customHeight="1">
      <c r="A10" s="432"/>
      <c r="B10" s="432"/>
      <c r="C10" s="153" t="s">
        <v>5</v>
      </c>
      <c r="D10" s="306">
        <v>258</v>
      </c>
      <c r="E10" s="129">
        <v>1329.5127209999998</v>
      </c>
      <c r="F10" s="129">
        <v>14628.433224</v>
      </c>
      <c r="G10" s="300">
        <f>E10/$E$14</f>
        <v>0.13503496986147695</v>
      </c>
      <c r="H10" s="300">
        <f>(E10-I10)/I10</f>
        <v>-0.28098942460376963</v>
      </c>
      <c r="I10" s="306">
        <v>1849.086462</v>
      </c>
      <c r="J10" s="129">
        <v>20172.339180000003</v>
      </c>
      <c r="K10" s="300">
        <f>I10/$I$14</f>
        <v>0.24333859159844126</v>
      </c>
      <c r="L10" s="93"/>
      <c r="N10" s="77"/>
      <c r="O10" s="77"/>
      <c r="P10" s="77"/>
      <c r="Q10" s="77"/>
      <c r="R10" s="77"/>
      <c r="S10" s="77"/>
      <c r="T10" s="77"/>
      <c r="U10" s="103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32"/>
      <c r="B11" s="432"/>
      <c r="C11" s="153" t="s">
        <v>6</v>
      </c>
      <c r="D11" s="306">
        <v>9683</v>
      </c>
      <c r="E11" s="129">
        <v>646.36556999999993</v>
      </c>
      <c r="F11" s="129">
        <v>7109.5162890000001</v>
      </c>
      <c r="G11" s="300">
        <f>E11/$E$14</f>
        <v>6.5649582652204178E-2</v>
      </c>
      <c r="H11" s="300">
        <f t="shared" ref="H11:H13" si="0">(E11-I11)/I11</f>
        <v>0.14691775164465648</v>
      </c>
      <c r="I11" s="306">
        <v>563.5675</v>
      </c>
      <c r="J11" s="129">
        <v>6145.7394170000007</v>
      </c>
      <c r="K11" s="300">
        <f>I11/$I$14</f>
        <v>7.4165121284985397E-2</v>
      </c>
      <c r="L11" s="93"/>
      <c r="N11" s="77"/>
      <c r="O11" s="77"/>
      <c r="P11" s="77"/>
      <c r="Q11" s="77"/>
      <c r="R11" s="77"/>
      <c r="S11" s="77"/>
      <c r="T11" s="77"/>
      <c r="U11" s="103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32"/>
      <c r="B12" s="432"/>
      <c r="C12" s="153" t="s">
        <v>7</v>
      </c>
      <c r="D12" s="306">
        <v>91664</v>
      </c>
      <c r="E12" s="129">
        <v>1019.736578</v>
      </c>
      <c r="F12" s="129">
        <v>11220.577912999999</v>
      </c>
      <c r="G12" s="300">
        <f>E12/$E$14</f>
        <v>0.10357185448613368</v>
      </c>
      <c r="H12" s="300">
        <f t="shared" si="0"/>
        <v>0.14838476354866545</v>
      </c>
      <c r="I12" s="306">
        <v>887.97466700000007</v>
      </c>
      <c r="J12" s="129">
        <v>9686.5062409999991</v>
      </c>
      <c r="K12" s="300">
        <f>I12/$I$14</f>
        <v>0.11685689624765361</v>
      </c>
      <c r="L12" s="93"/>
      <c r="N12" s="77"/>
      <c r="O12" s="77"/>
      <c r="P12" s="77"/>
      <c r="Q12" s="77"/>
      <c r="R12" s="77"/>
      <c r="S12" s="77"/>
      <c r="T12" s="77"/>
      <c r="U12" s="103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32"/>
      <c r="B13" s="432"/>
      <c r="C13" s="153" t="s">
        <v>90</v>
      </c>
      <c r="D13" s="306">
        <v>18</v>
      </c>
      <c r="E13" s="129">
        <v>273.84399999999999</v>
      </c>
      <c r="F13" s="129">
        <v>3012.5017290000001</v>
      </c>
      <c r="G13" s="300">
        <f>E13/$E$14</f>
        <v>2.7813585912087182E-2</v>
      </c>
      <c r="H13" s="300">
        <f t="shared" si="0"/>
        <v>-0.10330329543668466</v>
      </c>
      <c r="I13" s="306">
        <v>305.392</v>
      </c>
      <c r="J13" s="129">
        <v>3331.4315019999999</v>
      </c>
      <c r="K13" s="300">
        <f>I13/$I$14</f>
        <v>4.0189391189989238E-2</v>
      </c>
      <c r="L13" s="93"/>
      <c r="N13" s="77"/>
      <c r="O13" s="77"/>
      <c r="P13" s="77"/>
      <c r="Q13" s="77"/>
      <c r="R13" s="77"/>
      <c r="S13" s="77"/>
      <c r="T13" s="77"/>
      <c r="U13" s="10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33"/>
      <c r="B14" s="433"/>
      <c r="C14" s="311" t="s">
        <v>0</v>
      </c>
      <c r="D14" s="314">
        <v>101698</v>
      </c>
      <c r="E14" s="312">
        <v>9845.691988999999</v>
      </c>
      <c r="F14" s="312">
        <v>108329.345117</v>
      </c>
      <c r="G14" s="313">
        <f>SUM(G9:G13)</f>
        <v>1.0000000000000002</v>
      </c>
      <c r="H14" s="313">
        <f>(E14-I14)/I14</f>
        <v>0.29568674648341864</v>
      </c>
      <c r="I14" s="314">
        <v>7598.8212550000007</v>
      </c>
      <c r="J14" s="312">
        <v>82893.478373000005</v>
      </c>
      <c r="K14" s="313">
        <f>SUM(K9:K13)</f>
        <v>1</v>
      </c>
      <c r="L14" s="93"/>
      <c r="M14" s="93"/>
      <c r="N14" s="77"/>
      <c r="O14" s="77"/>
      <c r="P14" s="77"/>
      <c r="Q14" s="77"/>
      <c r="R14" s="77"/>
      <c r="S14" s="77"/>
      <c r="T14" s="77"/>
      <c r="U14" s="10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31" t="str">
        <f>'3.1'!E5</f>
        <v>Srpen</v>
      </c>
      <c r="B15" s="431"/>
      <c r="C15" s="163" t="s">
        <v>4</v>
      </c>
      <c r="D15" s="305">
        <v>76</v>
      </c>
      <c r="E15" s="301">
        <v>8051.2211209999996</v>
      </c>
      <c r="F15" s="301">
        <v>88857.186065999995</v>
      </c>
      <c r="G15" s="302">
        <f>E15/$E$20</f>
        <v>0.70613071169574326</v>
      </c>
      <c r="H15" s="302">
        <f>(E15-I15)/I15</f>
        <v>0.87695968707766014</v>
      </c>
      <c r="I15" s="305">
        <v>4289.5013550000003</v>
      </c>
      <c r="J15" s="301">
        <v>46818.191488999997</v>
      </c>
      <c r="K15" s="302">
        <f>I15/$I$20</f>
        <v>0.51957740466944147</v>
      </c>
      <c r="L15" s="93"/>
      <c r="M15" s="93"/>
      <c r="N15" s="77"/>
      <c r="O15" s="77"/>
      <c r="P15" s="77"/>
      <c r="Q15" s="77"/>
      <c r="R15" s="77"/>
      <c r="S15" s="77"/>
      <c r="T15" s="77"/>
      <c r="U15" s="103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32"/>
      <c r="B16" s="432"/>
      <c r="C16" s="153" t="s">
        <v>5</v>
      </c>
      <c r="D16" s="306">
        <v>258</v>
      </c>
      <c r="E16" s="129">
        <v>1351.271264</v>
      </c>
      <c r="F16" s="129">
        <v>14912.585902999999</v>
      </c>
      <c r="G16" s="300">
        <f>E16/$E$20</f>
        <v>0.11851297151106112</v>
      </c>
      <c r="H16" s="300">
        <f>(E16-I16)/I16</f>
        <v>-0.40888273020028648</v>
      </c>
      <c r="I16" s="306">
        <v>2285.9614040000001</v>
      </c>
      <c r="J16" s="129">
        <v>24950.961045</v>
      </c>
      <c r="K16" s="300">
        <f>I16/$I$20</f>
        <v>0.27689323190919762</v>
      </c>
      <c r="L16" s="97"/>
      <c r="M16" s="93"/>
      <c r="N16" s="77"/>
      <c r="O16" s="77"/>
      <c r="P16" s="77"/>
      <c r="Q16" s="77"/>
      <c r="R16" s="77"/>
      <c r="S16" s="77"/>
      <c r="T16" s="77"/>
      <c r="U16" s="10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32"/>
      <c r="B17" s="432"/>
      <c r="C17" s="153" t="s">
        <v>6</v>
      </c>
      <c r="D17" s="306">
        <v>9690</v>
      </c>
      <c r="E17" s="129">
        <v>672.64118700000006</v>
      </c>
      <c r="F17" s="129">
        <v>7421.863421</v>
      </c>
      <c r="G17" s="300">
        <f>E17/$E$20</f>
        <v>5.8993858565542137E-2</v>
      </c>
      <c r="H17" s="300">
        <f t="shared" ref="H17:H20" si="1">(E17-I17)/I17</f>
        <v>0.25622016323631874</v>
      </c>
      <c r="I17" s="306">
        <v>535.448488</v>
      </c>
      <c r="J17" s="129">
        <v>5842.8181080000004</v>
      </c>
      <c r="K17" s="300">
        <f>I17/$I$20</f>
        <v>6.485764024877351E-2</v>
      </c>
      <c r="L17" s="93"/>
      <c r="M17" s="93"/>
      <c r="N17" s="77"/>
      <c r="O17" s="77"/>
      <c r="P17" s="77"/>
      <c r="Q17" s="77"/>
      <c r="R17" s="77"/>
      <c r="S17" s="77"/>
      <c r="T17" s="77"/>
      <c r="U17" s="103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32"/>
      <c r="B18" s="432"/>
      <c r="C18" s="153" t="s">
        <v>7</v>
      </c>
      <c r="D18" s="306">
        <v>91636</v>
      </c>
      <c r="E18" s="129">
        <v>1062.485359</v>
      </c>
      <c r="F18" s="129">
        <v>11726.287463000001</v>
      </c>
      <c r="G18" s="300">
        <f>E18/$E$20</f>
        <v>9.3185062419921749E-2</v>
      </c>
      <c r="H18" s="300">
        <f t="shared" si="1"/>
        <v>0.25972096522238813</v>
      </c>
      <c r="I18" s="306">
        <v>843.42913099999998</v>
      </c>
      <c r="J18" s="129">
        <v>9206.7144360000002</v>
      </c>
      <c r="K18" s="300">
        <f>I18/$I$20</f>
        <v>0.10216262512582475</v>
      </c>
      <c r="L18" s="93"/>
      <c r="M18" s="93"/>
      <c r="N18" s="77"/>
      <c r="O18" s="77"/>
      <c r="P18" s="77"/>
      <c r="Q18" s="77"/>
      <c r="R18" s="77"/>
      <c r="S18" s="77"/>
      <c r="T18" s="77"/>
      <c r="U18" s="10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32"/>
      <c r="B19" s="432"/>
      <c r="C19" s="153" t="s">
        <v>90</v>
      </c>
      <c r="D19" s="306">
        <v>18</v>
      </c>
      <c r="E19" s="129">
        <v>264.26600000000002</v>
      </c>
      <c r="F19" s="129">
        <v>2916.183736</v>
      </c>
      <c r="G19" s="300">
        <f>E19/$E$20</f>
        <v>2.3177395807731822E-2</v>
      </c>
      <c r="H19" s="300">
        <f t="shared" si="1"/>
        <v>-0.12323413290866263</v>
      </c>
      <c r="I19" s="306">
        <v>301.41000000000003</v>
      </c>
      <c r="J19" s="129">
        <v>3289.1708400000002</v>
      </c>
      <c r="K19" s="300">
        <f>I19/$I$20</f>
        <v>3.6509098046762674E-2</v>
      </c>
      <c r="L19" s="93"/>
      <c r="M19" s="93"/>
      <c r="N19" s="77"/>
      <c r="O19" s="77"/>
      <c r="P19" s="77"/>
      <c r="Q19" s="77"/>
      <c r="R19" s="77"/>
      <c r="S19" s="77"/>
      <c r="T19" s="77"/>
      <c r="U19" s="103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33"/>
      <c r="B20" s="433"/>
      <c r="C20" s="311" t="s">
        <v>0</v>
      </c>
      <c r="D20" s="314">
        <v>101678</v>
      </c>
      <c r="E20" s="312">
        <v>11401.884930999999</v>
      </c>
      <c r="F20" s="312">
        <v>125834.106589</v>
      </c>
      <c r="G20" s="313">
        <f>SUM(G15:G19)</f>
        <v>1.0000000000000002</v>
      </c>
      <c r="H20" s="313">
        <f t="shared" si="1"/>
        <v>0.3810840213124474</v>
      </c>
      <c r="I20" s="314">
        <v>8255.7503780000006</v>
      </c>
      <c r="J20" s="312">
        <v>90107.855918000001</v>
      </c>
      <c r="K20" s="313">
        <f>SUM(K15:K19)</f>
        <v>1</v>
      </c>
      <c r="L20" s="93"/>
      <c r="M20" s="93"/>
      <c r="N20" s="77"/>
      <c r="O20" s="77"/>
      <c r="P20" s="77"/>
      <c r="Q20" s="77"/>
      <c r="R20" s="77"/>
      <c r="S20" s="77"/>
      <c r="T20" s="77"/>
      <c r="U20" s="103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31" t="str">
        <f>'3.1'!F5</f>
        <v>Září</v>
      </c>
      <c r="B21" s="431"/>
      <c r="C21" s="163" t="s">
        <v>4</v>
      </c>
      <c r="D21" s="305">
        <v>76</v>
      </c>
      <c r="E21" s="301">
        <v>7007.5390850000003</v>
      </c>
      <c r="F21" s="301">
        <v>77516.918858999998</v>
      </c>
      <c r="G21" s="302">
        <f>E21/$E$26</f>
        <v>0.58199671465480174</v>
      </c>
      <c r="H21" s="302">
        <f>(E21-I21)/I21</f>
        <v>0.29735239573424221</v>
      </c>
      <c r="I21" s="305">
        <v>5401.4153040000001</v>
      </c>
      <c r="J21" s="301">
        <v>59094.724273</v>
      </c>
      <c r="K21" s="302">
        <f>I21/$I$26</f>
        <v>0.46330949018592821</v>
      </c>
      <c r="L21" s="88"/>
      <c r="M21" s="88"/>
      <c r="N21" s="77"/>
      <c r="O21" s="77"/>
      <c r="P21" s="77"/>
      <c r="Q21" s="77"/>
      <c r="R21" s="77"/>
      <c r="S21" s="77"/>
      <c r="T21" s="77"/>
      <c r="U21" s="103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32"/>
      <c r="B22" s="432"/>
      <c r="C22" s="153" t="s">
        <v>5</v>
      </c>
      <c r="D22" s="306">
        <v>258</v>
      </c>
      <c r="E22" s="129">
        <v>1641.8769220000001</v>
      </c>
      <c r="F22" s="129">
        <v>18162.985734000002</v>
      </c>
      <c r="G22" s="300">
        <f>E22/$E$26</f>
        <v>0.13636270349415228</v>
      </c>
      <c r="H22" s="300">
        <f t="shared" ref="H22:H26" si="2">(E22-I22)/I22</f>
        <v>-0.33683062946419223</v>
      </c>
      <c r="I22" s="306">
        <v>2475.8033090000004</v>
      </c>
      <c r="J22" s="129">
        <v>27086.71904</v>
      </c>
      <c r="K22" s="300">
        <f>I22/$I$26</f>
        <v>0.21236344630711332</v>
      </c>
      <c r="L22" s="88"/>
      <c r="M22" s="88"/>
      <c r="N22" s="77"/>
      <c r="O22" s="77"/>
      <c r="P22" s="77"/>
      <c r="Q22" s="77"/>
      <c r="R22" s="77"/>
      <c r="S22" s="77"/>
      <c r="T22" s="77"/>
      <c r="U22" s="10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32"/>
      <c r="B23" s="432"/>
      <c r="C23" s="153" t="s">
        <v>6</v>
      </c>
      <c r="D23" s="306">
        <v>9692</v>
      </c>
      <c r="E23" s="129">
        <v>1209.965134</v>
      </c>
      <c r="F23" s="129">
        <v>13381.918</v>
      </c>
      <c r="G23" s="300">
        <f>E23/$E$26</f>
        <v>0.10049116020518878</v>
      </c>
      <c r="H23" s="300">
        <f t="shared" si="2"/>
        <v>-0.10090538427290996</v>
      </c>
      <c r="I23" s="306">
        <v>1345.759515</v>
      </c>
      <c r="J23" s="129">
        <v>14723.847166</v>
      </c>
      <c r="K23" s="300">
        <f>I23/$I$26</f>
        <v>0.1154332928900651</v>
      </c>
      <c r="L23" s="88"/>
      <c r="M23" s="88"/>
      <c r="N23" s="77"/>
      <c r="O23" s="77"/>
      <c r="P23" s="77"/>
      <c r="Q23" s="77"/>
      <c r="R23" s="77"/>
      <c r="S23" s="77"/>
      <c r="T23" s="77"/>
      <c r="U23" s="103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32"/>
      <c r="B24" s="432"/>
      <c r="C24" s="153" t="s">
        <v>7</v>
      </c>
      <c r="D24" s="306">
        <v>91577</v>
      </c>
      <c r="E24" s="129">
        <v>1914.5539900000001</v>
      </c>
      <c r="F24" s="129">
        <v>21179.017509999998</v>
      </c>
      <c r="G24" s="300">
        <f>E24/$E$26</f>
        <v>0.1590093353306273</v>
      </c>
      <c r="H24" s="300">
        <f t="shared" si="2"/>
        <v>-0.10399021931792381</v>
      </c>
      <c r="I24" s="306">
        <v>2136.755682</v>
      </c>
      <c r="J24" s="129">
        <v>23377.575371999999</v>
      </c>
      <c r="K24" s="300">
        <f>I24/$I$26</f>
        <v>0.18328144198543289</v>
      </c>
      <c r="L24" s="88"/>
      <c r="M24" s="88"/>
      <c r="N24" s="77"/>
      <c r="O24" s="77"/>
      <c r="P24" s="77"/>
      <c r="Q24" s="77"/>
      <c r="R24" s="77"/>
      <c r="S24" s="77"/>
      <c r="T24" s="77"/>
      <c r="U24" s="103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32"/>
      <c r="B25" s="432"/>
      <c r="C25" s="153" t="s">
        <v>90</v>
      </c>
      <c r="D25" s="306">
        <v>18</v>
      </c>
      <c r="E25" s="129">
        <v>266.57799999999997</v>
      </c>
      <c r="F25" s="129">
        <v>2949.2027039999998</v>
      </c>
      <c r="G25" s="300">
        <f>E25/$E$26</f>
        <v>2.2140086315229981E-2</v>
      </c>
      <c r="H25" s="300">
        <f t="shared" si="2"/>
        <v>-0.10723148591579958</v>
      </c>
      <c r="I25" s="306">
        <v>298.59699999999998</v>
      </c>
      <c r="J25" s="129">
        <v>3267.6091409999999</v>
      </c>
      <c r="K25" s="300">
        <f>I25/$I$26</f>
        <v>2.5612328631460402E-2</v>
      </c>
      <c r="L25" s="88"/>
      <c r="M25" s="88"/>
      <c r="N25" s="77"/>
      <c r="O25" s="77"/>
      <c r="P25" s="77"/>
      <c r="Q25" s="77"/>
      <c r="R25" s="77"/>
      <c r="S25" s="77"/>
      <c r="T25" s="77"/>
      <c r="U25" s="103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33"/>
      <c r="B26" s="433"/>
      <c r="C26" s="311" t="s">
        <v>0</v>
      </c>
      <c r="D26" s="314">
        <v>101621</v>
      </c>
      <c r="E26" s="312">
        <v>12040.513131</v>
      </c>
      <c r="F26" s="312">
        <v>133190.04280699999</v>
      </c>
      <c r="G26" s="313">
        <f>SUM(G21:G25)</f>
        <v>1</v>
      </c>
      <c r="H26" s="313">
        <f t="shared" si="2"/>
        <v>3.2781907395540648E-2</v>
      </c>
      <c r="I26" s="314">
        <v>11658.330810000001</v>
      </c>
      <c r="J26" s="312">
        <v>127550.47499199997</v>
      </c>
      <c r="K26" s="313">
        <f>SUM(K21:K25)</f>
        <v>1</v>
      </c>
      <c r="N26" s="77"/>
      <c r="O26" s="77"/>
      <c r="P26" s="77"/>
      <c r="Q26" s="77"/>
      <c r="R26" s="77"/>
      <c r="S26" s="77"/>
      <c r="T26" s="77"/>
      <c r="U26" s="103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01" t="str">
        <f>'3.1'!G5</f>
        <v>III. čtvrtletí</v>
      </c>
      <c r="B27" s="431"/>
      <c r="C27" s="163" t="s">
        <v>4</v>
      </c>
      <c r="D27" s="305">
        <f>D21</f>
        <v>76</v>
      </c>
      <c r="E27" s="301">
        <f>E9+E15+E21</f>
        <v>21634.993326</v>
      </c>
      <c r="F27" s="301">
        <f>F9+F15+F21</f>
        <v>238732.42088700001</v>
      </c>
      <c r="G27" s="302">
        <f>E27/$E$32</f>
        <v>0.64993195142327076</v>
      </c>
      <c r="H27" s="302">
        <f>(E27-I27)/I27</f>
        <v>0.58107573222929232</v>
      </c>
      <c r="I27" s="305">
        <f>I9+I15+I21</f>
        <v>13683.717285000001</v>
      </c>
      <c r="J27" s="301">
        <f>J9+J15+J21</f>
        <v>149470.37779500001</v>
      </c>
      <c r="K27" s="302">
        <f>I27/$I$32</f>
        <v>0.49735636991950638</v>
      </c>
      <c r="N27" s="77"/>
      <c r="O27" s="77"/>
      <c r="P27" s="77"/>
      <c r="Q27" s="77"/>
      <c r="R27" s="77"/>
      <c r="S27" s="77"/>
      <c r="T27" s="77"/>
      <c r="U27" s="103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32"/>
      <c r="B28" s="432"/>
      <c r="C28" s="153" t="s">
        <v>5</v>
      </c>
      <c r="D28" s="306">
        <f>D22</f>
        <v>258</v>
      </c>
      <c r="E28" s="129">
        <f t="shared" ref="E28:F28" si="3">E10+E16+E22</f>
        <v>4322.6609070000004</v>
      </c>
      <c r="F28" s="129">
        <f t="shared" si="3"/>
        <v>47704.004861000001</v>
      </c>
      <c r="G28" s="300">
        <f>E28/$E$32</f>
        <v>0.12985608066961304</v>
      </c>
      <c r="H28" s="300">
        <f t="shared" ref="H28:H31" si="4">(E28-I28)/I28</f>
        <v>-0.34612642266901422</v>
      </c>
      <c r="I28" s="306">
        <f t="shared" ref="I28:J28" si="5">I10+I16+I22</f>
        <v>6610.8511749999998</v>
      </c>
      <c r="J28" s="129">
        <f t="shared" si="5"/>
        <v>72210.019264999995</v>
      </c>
      <c r="K28" s="300">
        <f>I28/$I$32</f>
        <v>0.24028185280328257</v>
      </c>
      <c r="N28" s="77"/>
      <c r="O28" s="77"/>
      <c r="P28" s="77"/>
      <c r="Q28" s="77"/>
      <c r="R28" s="77"/>
      <c r="S28" s="77"/>
      <c r="T28" s="77"/>
      <c r="U28" s="103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32"/>
      <c r="B29" s="432"/>
      <c r="C29" s="153" t="s">
        <v>6</v>
      </c>
      <c r="D29" s="306">
        <f>D23</f>
        <v>9692</v>
      </c>
      <c r="E29" s="129">
        <f t="shared" ref="E29:F29" si="6">E11+E17+E23</f>
        <v>2528.9718910000001</v>
      </c>
      <c r="F29" s="129">
        <f t="shared" si="6"/>
        <v>27913.297709999999</v>
      </c>
      <c r="G29" s="300">
        <f>E29/$E$32</f>
        <v>7.5972273780965313E-2</v>
      </c>
      <c r="H29" s="300">
        <f t="shared" si="4"/>
        <v>3.4439312688090321E-2</v>
      </c>
      <c r="I29" s="306">
        <f t="shared" ref="I29:J29" si="7">I11+I17+I23</f>
        <v>2444.7755029999998</v>
      </c>
      <c r="J29" s="129">
        <f t="shared" si="7"/>
        <v>26712.404691</v>
      </c>
      <c r="K29" s="300">
        <f>I29/$I$32</f>
        <v>8.8859236427889648E-2</v>
      </c>
      <c r="N29" s="77"/>
      <c r="O29" s="77"/>
      <c r="P29" s="77"/>
      <c r="Q29" s="77"/>
      <c r="R29" s="77"/>
      <c r="S29" s="77"/>
      <c r="T29" s="77"/>
      <c r="U29" s="103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32"/>
      <c r="B30" s="432"/>
      <c r="C30" s="153" t="s">
        <v>7</v>
      </c>
      <c r="D30" s="306">
        <f>D24</f>
        <v>91577</v>
      </c>
      <c r="E30" s="129">
        <f t="shared" ref="E30:F31" si="8">E12+E18+E24</f>
        <v>3996.7759270000006</v>
      </c>
      <c r="F30" s="129">
        <f t="shared" si="8"/>
        <v>44125.882885999999</v>
      </c>
      <c r="G30" s="300">
        <f>E30/$E$32</f>
        <v>0.12006624353865365</v>
      </c>
      <c r="H30" s="300">
        <f t="shared" si="4"/>
        <v>3.3250037301978133E-2</v>
      </c>
      <c r="I30" s="306">
        <f t="shared" ref="I30:J30" si="9">I12+I18+I24</f>
        <v>3868.1594800000003</v>
      </c>
      <c r="J30" s="129">
        <f t="shared" si="9"/>
        <v>42270.796048999997</v>
      </c>
      <c r="K30" s="300">
        <f>I30/$I$32</f>
        <v>0.14059438069152752</v>
      </c>
      <c r="N30" s="77"/>
      <c r="O30" s="77"/>
      <c r="P30" s="77"/>
      <c r="Q30" s="77"/>
      <c r="R30" s="77"/>
      <c r="S30" s="77"/>
      <c r="T30" s="77"/>
      <c r="U30" s="103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32"/>
      <c r="B31" s="432"/>
      <c r="C31" s="153" t="s">
        <v>90</v>
      </c>
      <c r="D31" s="306">
        <f>D25</f>
        <v>18</v>
      </c>
      <c r="E31" s="129">
        <f>E13+E19+E25</f>
        <v>804.68799999999999</v>
      </c>
      <c r="F31" s="129">
        <f t="shared" si="8"/>
        <v>8877.8881689999998</v>
      </c>
      <c r="G31" s="300">
        <f>E31/$E$32</f>
        <v>2.4173450587497026E-2</v>
      </c>
      <c r="H31" s="300">
        <f t="shared" si="4"/>
        <v>-0.11123383171397364</v>
      </c>
      <c r="I31" s="306">
        <f>I13+I19+I25</f>
        <v>905.399</v>
      </c>
      <c r="J31" s="129">
        <f t="shared" ref="J31" si="10">J13+J19+J25</f>
        <v>9888.2114829999991</v>
      </c>
      <c r="K31" s="300">
        <f>I31/$I$32</f>
        <v>3.2908160157793784E-2</v>
      </c>
      <c r="N31" s="77"/>
      <c r="O31" s="77"/>
      <c r="P31" s="77"/>
      <c r="Q31" s="77"/>
      <c r="R31" s="77"/>
      <c r="S31" s="77"/>
      <c r="T31" s="77"/>
      <c r="U31" s="103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33"/>
      <c r="B32" s="433"/>
      <c r="C32" s="311" t="s">
        <v>0</v>
      </c>
      <c r="D32" s="314">
        <f>SUM(D27:D31)</f>
        <v>101621</v>
      </c>
      <c r="E32" s="312">
        <f>SUM(E27:E31)</f>
        <v>33288.090051000006</v>
      </c>
      <c r="F32" s="312">
        <f>SUM(F27:F31)</f>
        <v>367353.49451300001</v>
      </c>
      <c r="G32" s="313">
        <f>SUM(G27:G31)</f>
        <v>0.99999999999999978</v>
      </c>
      <c r="H32" s="313">
        <f>(E32-I32)/I32</f>
        <v>0.20990833736879555</v>
      </c>
      <c r="I32" s="314">
        <f>SUM(I27:I31)</f>
        <v>27512.902443000003</v>
      </c>
      <c r="J32" s="312">
        <f>SUM(J27:J31)</f>
        <v>300551.80928300001</v>
      </c>
      <c r="K32" s="313">
        <f>SUM(K27:K31)</f>
        <v>0.99999999999999978</v>
      </c>
      <c r="N32" s="77"/>
      <c r="O32" s="77"/>
      <c r="P32" s="77"/>
      <c r="Q32" s="77"/>
      <c r="R32" s="77"/>
      <c r="S32" s="77"/>
      <c r="T32" s="77"/>
      <c r="U32" s="103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35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170</v>
      </c>
      <c r="E39" s="301">
        <v>14491.369000000001</v>
      </c>
      <c r="F39" s="301">
        <v>159212.57673</v>
      </c>
      <c r="G39" s="302">
        <f>E39/$E$44</f>
        <v>0.56673545848830076</v>
      </c>
      <c r="H39" s="302">
        <f>(E39-I39)/I39</f>
        <v>5.446192449572522E-2</v>
      </c>
      <c r="I39" s="305">
        <v>13742.904</v>
      </c>
      <c r="J39" s="301">
        <v>150044.09020999999</v>
      </c>
      <c r="K39" s="302">
        <f>I39/$I$44</f>
        <v>0.57211801291364683</v>
      </c>
    </row>
    <row r="40" spans="1:11" ht="11.1" customHeight="1">
      <c r="A40" s="432"/>
      <c r="B40" s="432"/>
      <c r="C40" s="153" t="s">
        <v>5</v>
      </c>
      <c r="D40" s="306">
        <v>745</v>
      </c>
      <c r="E40" s="129">
        <v>3218.0450000000001</v>
      </c>
      <c r="F40" s="129">
        <v>35355.812790000004</v>
      </c>
      <c r="G40" s="300">
        <f t="shared" ref="G40:G41" si="11">E40/$E$44</f>
        <v>0.12585285824348161</v>
      </c>
      <c r="H40" s="300">
        <f>(E40-I40)/I40</f>
        <v>0.1227080399843144</v>
      </c>
      <c r="I40" s="306">
        <v>2866.3240000000001</v>
      </c>
      <c r="J40" s="129">
        <v>31294.506799999999</v>
      </c>
      <c r="K40" s="300">
        <f t="shared" ref="K40:K43" si="12">I40/$I$44</f>
        <v>0.11932525987569263</v>
      </c>
    </row>
    <row r="41" spans="1:11" ht="11.1" customHeight="1">
      <c r="A41" s="432"/>
      <c r="B41" s="432"/>
      <c r="C41" s="153" t="s">
        <v>6</v>
      </c>
      <c r="D41" s="306">
        <v>23524</v>
      </c>
      <c r="E41" s="129">
        <v>1889.7470000000001</v>
      </c>
      <c r="F41" s="129">
        <v>20762.06898</v>
      </c>
      <c r="G41" s="300">
        <f t="shared" si="11"/>
        <v>7.3905138463584139E-2</v>
      </c>
      <c r="H41" s="300">
        <f t="shared" ref="H41:H43" si="13">(E41-I41)/I41</f>
        <v>4.0919105901534615E-2</v>
      </c>
      <c r="I41" s="306">
        <v>1815.46</v>
      </c>
      <c r="J41" s="129">
        <v>19821.545139999998</v>
      </c>
      <c r="K41" s="300">
        <f t="shared" si="12"/>
        <v>7.5577721253398067E-2</v>
      </c>
    </row>
    <row r="42" spans="1:11" ht="11.1" customHeight="1">
      <c r="A42" s="432"/>
      <c r="B42" s="432"/>
      <c r="C42" s="153" t="s">
        <v>7</v>
      </c>
      <c r="D42" s="306">
        <v>343579</v>
      </c>
      <c r="E42" s="129">
        <v>4920.6000000000004</v>
      </c>
      <c r="F42" s="129">
        <v>54061.3</v>
      </c>
      <c r="G42" s="300">
        <f>E42/$E$44</f>
        <v>0.19243720155338898</v>
      </c>
      <c r="H42" s="300">
        <f t="shared" si="13"/>
        <v>9.3806962166007188E-2</v>
      </c>
      <c r="I42" s="306">
        <v>4498.6000000000004</v>
      </c>
      <c r="J42" s="129">
        <v>49115.9</v>
      </c>
      <c r="K42" s="300">
        <f t="shared" si="12"/>
        <v>0.18727701895416948</v>
      </c>
    </row>
    <row r="43" spans="1:11" ht="11.1" customHeight="1">
      <c r="A43" s="432"/>
      <c r="B43" s="432"/>
      <c r="C43" s="153" t="s">
        <v>90</v>
      </c>
      <c r="D43" s="306">
        <v>30</v>
      </c>
      <c r="E43" s="129">
        <v>1050.1389999999999</v>
      </c>
      <c r="F43" s="129">
        <v>11537.55883</v>
      </c>
      <c r="G43" s="300">
        <f>E43/$E$44</f>
        <v>4.1069343251244624E-2</v>
      </c>
      <c r="H43" s="300">
        <f t="shared" si="13"/>
        <v>-4.3425468112937377E-2</v>
      </c>
      <c r="I43" s="306">
        <v>1097.8119999999999</v>
      </c>
      <c r="J43" s="129">
        <v>11985.82935</v>
      </c>
      <c r="K43" s="300">
        <f t="shared" si="12"/>
        <v>4.5701987003093116E-2</v>
      </c>
    </row>
    <row r="44" spans="1:11" ht="11.1" customHeight="1">
      <c r="A44" s="433"/>
      <c r="B44" s="433"/>
      <c r="C44" s="311" t="s">
        <v>0</v>
      </c>
      <c r="D44" s="314">
        <v>368048</v>
      </c>
      <c r="E44" s="312">
        <v>25569.899999999998</v>
      </c>
      <c r="F44" s="312">
        <v>280929.31732999999</v>
      </c>
      <c r="G44" s="313">
        <f>SUM(G39:G43)</f>
        <v>1</v>
      </c>
      <c r="H44" s="313">
        <f>(E44-I44)/I44</f>
        <v>6.447664761397269E-2</v>
      </c>
      <c r="I44" s="314">
        <v>24021.1</v>
      </c>
      <c r="J44" s="312">
        <v>262261.87150000001</v>
      </c>
      <c r="K44" s="313">
        <f>SUM(K39:K43)</f>
        <v>1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171</v>
      </c>
      <c r="E45" s="301">
        <v>13973.835999999999</v>
      </c>
      <c r="F45" s="301">
        <v>153958.52428000001</v>
      </c>
      <c r="G45" s="302">
        <f>E45/$E$50</f>
        <v>0.55136663510101003</v>
      </c>
      <c r="H45" s="302">
        <f>(E45-I45)/I45</f>
        <v>3.98314283547812E-2</v>
      </c>
      <c r="I45" s="305">
        <v>13438.558999999999</v>
      </c>
      <c r="J45" s="301">
        <v>146834.17736</v>
      </c>
      <c r="K45" s="302">
        <f>I45/$I$50</f>
        <v>0.56512735652678547</v>
      </c>
    </row>
    <row r="46" spans="1:11" ht="11.1" customHeight="1">
      <c r="A46" s="432"/>
      <c r="B46" s="432"/>
      <c r="C46" s="153" t="s">
        <v>5</v>
      </c>
      <c r="D46" s="306">
        <v>744</v>
      </c>
      <c r="E46" s="129">
        <v>3178.7020000000002</v>
      </c>
      <c r="F46" s="129">
        <v>35022.164230000002</v>
      </c>
      <c r="G46" s="300">
        <f t="shared" ref="G46:G48" si="14">E46/$E$50</f>
        <v>0.12542226957070707</v>
      </c>
      <c r="H46" s="300">
        <f>(E46-I46)/I46</f>
        <v>9.9596304124478174E-2</v>
      </c>
      <c r="I46" s="306">
        <v>2890.79</v>
      </c>
      <c r="J46" s="129">
        <v>31585.918689999999</v>
      </c>
      <c r="K46" s="300">
        <f t="shared" ref="K46:K49" si="15">I46/$I$50</f>
        <v>0.12156545288628537</v>
      </c>
    </row>
    <row r="47" spans="1:11" ht="11.1" customHeight="1">
      <c r="A47" s="432"/>
      <c r="B47" s="432"/>
      <c r="C47" s="153" t="s">
        <v>6</v>
      </c>
      <c r="D47" s="306">
        <v>23512</v>
      </c>
      <c r="E47" s="129">
        <v>2009.1379999999999</v>
      </c>
      <c r="F47" s="129">
        <v>22136.090779999999</v>
      </c>
      <c r="G47" s="300">
        <f t="shared" si="14"/>
        <v>7.9274700126262629E-2</v>
      </c>
      <c r="H47" s="300">
        <f t="shared" ref="H47:H49" si="16">(E47-I47)/I47</f>
        <v>9.1724654329051067E-2</v>
      </c>
      <c r="I47" s="306">
        <v>1840.3340000000001</v>
      </c>
      <c r="J47" s="129">
        <v>20108.43878</v>
      </c>
      <c r="K47" s="300">
        <f t="shared" si="15"/>
        <v>7.739096792642465E-2</v>
      </c>
    </row>
    <row r="48" spans="1:11" ht="11.1" customHeight="1">
      <c r="A48" s="432"/>
      <c r="B48" s="432"/>
      <c r="C48" s="153" t="s">
        <v>7</v>
      </c>
      <c r="D48" s="306">
        <v>343296</v>
      </c>
      <c r="E48" s="129">
        <v>5146.8999999999996</v>
      </c>
      <c r="F48" s="129">
        <v>56706.6</v>
      </c>
      <c r="G48" s="300">
        <f t="shared" si="14"/>
        <v>0.20308159722222222</v>
      </c>
      <c r="H48" s="300">
        <f t="shared" si="16"/>
        <v>0.14380639139517298</v>
      </c>
      <c r="I48" s="306">
        <v>4499.8</v>
      </c>
      <c r="J48" s="129">
        <v>49166.6</v>
      </c>
      <c r="K48" s="300">
        <f t="shared" si="15"/>
        <v>0.18922862777915619</v>
      </c>
    </row>
    <row r="49" spans="1:11" ht="11.1" customHeight="1">
      <c r="A49" s="432"/>
      <c r="B49" s="432"/>
      <c r="C49" s="153" t="s">
        <v>90</v>
      </c>
      <c r="D49" s="306">
        <v>30</v>
      </c>
      <c r="E49" s="129">
        <v>1035.424</v>
      </c>
      <c r="F49" s="129">
        <v>11407.892</v>
      </c>
      <c r="G49" s="300">
        <f>E49/$E$50</f>
        <v>4.0854797979797977E-2</v>
      </c>
      <c r="H49" s="300">
        <f t="shared" si="16"/>
        <v>-6.736791095794796E-2</v>
      </c>
      <c r="I49" s="306">
        <v>1110.2170000000001</v>
      </c>
      <c r="J49" s="129">
        <v>12130.599850000001</v>
      </c>
      <c r="K49" s="300">
        <f t="shared" si="15"/>
        <v>4.6687594881348389E-2</v>
      </c>
    </row>
    <row r="50" spans="1:11" ht="11.1" customHeight="1">
      <c r="A50" s="433"/>
      <c r="B50" s="433"/>
      <c r="C50" s="311" t="s">
        <v>0</v>
      </c>
      <c r="D50" s="314">
        <v>367753</v>
      </c>
      <c r="E50" s="312">
        <v>25344</v>
      </c>
      <c r="F50" s="312">
        <v>279231.27129</v>
      </c>
      <c r="G50" s="313">
        <f>SUM(G45:G49)</f>
        <v>0.99999999999999978</v>
      </c>
      <c r="H50" s="313">
        <f t="shared" ref="H50" si="17">(E50-I50)/I50</f>
        <v>6.5782999785531482E-2</v>
      </c>
      <c r="I50" s="314">
        <v>23779.699999999997</v>
      </c>
      <c r="J50" s="312">
        <v>259825.73467999999</v>
      </c>
      <c r="K50" s="313">
        <f>SUM(K45:K49)</f>
        <v>1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171</v>
      </c>
      <c r="E51" s="301">
        <v>15570.031999999999</v>
      </c>
      <c r="F51" s="301">
        <v>172139.67739</v>
      </c>
      <c r="G51" s="302">
        <f>E51/$E$56</f>
        <v>0.4888335206615721</v>
      </c>
      <c r="H51" s="302">
        <f>(E51-I51)/I51</f>
        <v>4.6276007348412746E-3</v>
      </c>
      <c r="I51" s="305">
        <v>15498.312</v>
      </c>
      <c r="J51" s="301">
        <v>169635.96599</v>
      </c>
      <c r="K51" s="302">
        <f>I51/$I$56</f>
        <v>0.48821884666998489</v>
      </c>
    </row>
    <row r="52" spans="1:11" ht="11.1" customHeight="1">
      <c r="A52" s="432"/>
      <c r="B52" s="432"/>
      <c r="C52" s="153" t="s">
        <v>5</v>
      </c>
      <c r="D52" s="306">
        <v>748</v>
      </c>
      <c r="E52" s="129">
        <v>3911.9740000000002</v>
      </c>
      <c r="F52" s="129">
        <v>43250.30629</v>
      </c>
      <c r="G52" s="300">
        <f t="shared" ref="G52:G55" si="18">E52/$E$56</f>
        <v>0.12281953069566799</v>
      </c>
      <c r="H52" s="300">
        <f t="shared" ref="H52:H55" si="19">(E52-I52)/I52</f>
        <v>-3.1364487684480143E-2</v>
      </c>
      <c r="I52" s="306">
        <v>4038.6439999999998</v>
      </c>
      <c r="J52" s="129">
        <v>44204.62743</v>
      </c>
      <c r="K52" s="300">
        <f t="shared" ref="K52:K55" si="20">I52/$I$56</f>
        <v>0.12722302375837152</v>
      </c>
    </row>
    <row r="53" spans="1:11" ht="11.1" customHeight="1">
      <c r="A53" s="432"/>
      <c r="B53" s="432"/>
      <c r="C53" s="153" t="s">
        <v>6</v>
      </c>
      <c r="D53" s="306">
        <v>23486</v>
      </c>
      <c r="E53" s="129">
        <v>3263.8789999999999</v>
      </c>
      <c r="F53" s="129">
        <v>36084.355380000001</v>
      </c>
      <c r="G53" s="300">
        <f t="shared" si="18"/>
        <v>0.10247207344104182</v>
      </c>
      <c r="H53" s="300">
        <f t="shared" si="19"/>
        <v>-4.5083445656241304E-2</v>
      </c>
      <c r="I53" s="306">
        <v>3417.973</v>
      </c>
      <c r="J53" s="129">
        <v>37411.08412</v>
      </c>
      <c r="K53" s="300">
        <f t="shared" si="20"/>
        <v>0.10767100546234637</v>
      </c>
    </row>
    <row r="54" spans="1:11" ht="11.1" customHeight="1">
      <c r="A54" s="432"/>
      <c r="B54" s="432"/>
      <c r="C54" s="153" t="s">
        <v>7</v>
      </c>
      <c r="D54" s="306">
        <v>343093</v>
      </c>
      <c r="E54" s="129">
        <v>8061.9</v>
      </c>
      <c r="F54" s="129">
        <v>89131.199999999997</v>
      </c>
      <c r="G54" s="300">
        <f t="shared" si="18"/>
        <v>0.25310975341743214</v>
      </c>
      <c r="H54" s="300">
        <f t="shared" si="19"/>
        <v>4.6524307133121258E-2</v>
      </c>
      <c r="I54" s="306">
        <v>7703.5</v>
      </c>
      <c r="J54" s="129">
        <v>84318.1</v>
      </c>
      <c r="K54" s="300">
        <f t="shared" si="20"/>
        <v>0.24267119447087068</v>
      </c>
    </row>
    <row r="55" spans="1:11" ht="11.1" customHeight="1">
      <c r="A55" s="432"/>
      <c r="B55" s="432"/>
      <c r="C55" s="153" t="s">
        <v>90</v>
      </c>
      <c r="D55" s="306">
        <v>30</v>
      </c>
      <c r="E55" s="129">
        <v>1043.615</v>
      </c>
      <c r="F55" s="129">
        <v>11538.03347</v>
      </c>
      <c r="G55" s="300">
        <f t="shared" si="18"/>
        <v>3.2765121784285769E-2</v>
      </c>
      <c r="H55" s="300">
        <f t="shared" si="19"/>
        <v>-3.9179834482784053E-2</v>
      </c>
      <c r="I55" s="306">
        <v>1086.171</v>
      </c>
      <c r="J55" s="129">
        <v>11888.64977</v>
      </c>
      <c r="K55" s="300">
        <f t="shared" si="20"/>
        <v>3.4215929638426699E-2</v>
      </c>
    </row>
    <row r="56" spans="1:11" ht="11.1" customHeight="1">
      <c r="A56" s="433"/>
      <c r="B56" s="433"/>
      <c r="C56" s="311" t="s">
        <v>0</v>
      </c>
      <c r="D56" s="314">
        <v>367528</v>
      </c>
      <c r="E56" s="312">
        <v>31851.400000000005</v>
      </c>
      <c r="F56" s="312">
        <v>352143.57253</v>
      </c>
      <c r="G56" s="313">
        <f>SUM(G51:G55)</f>
        <v>0.99999999999999989</v>
      </c>
      <c r="H56" s="313">
        <f t="shared" ref="H56" si="21">(E56-I56)/I56</f>
        <v>3.3643517322634463E-3</v>
      </c>
      <c r="I56" s="314">
        <v>31744.599999999995</v>
      </c>
      <c r="J56" s="312">
        <v>347458.42731000006</v>
      </c>
      <c r="K56" s="313">
        <f>SUM(K51:K55)</f>
        <v>1.0000000000000002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171</v>
      </c>
      <c r="E57" s="301">
        <f>E39+E45+E51</f>
        <v>44035.237000000001</v>
      </c>
      <c r="F57" s="301">
        <f>F39+F45+F51</f>
        <v>485310.77839999995</v>
      </c>
      <c r="G57" s="302">
        <f>E57/$E$62</f>
        <v>0.5320495062544327</v>
      </c>
      <c r="H57" s="302">
        <f>(E57-I57)/I57</f>
        <v>3.1758883452408064E-2</v>
      </c>
      <c r="I57" s="305">
        <f>I39+I45+I51</f>
        <v>42679.775000000001</v>
      </c>
      <c r="J57" s="301">
        <f>J39+J45+J51</f>
        <v>466514.23356000002</v>
      </c>
      <c r="K57" s="302">
        <f>I57/$I$62</f>
        <v>0.53654611077447589</v>
      </c>
    </row>
    <row r="58" spans="1:11" ht="11.1" customHeight="1">
      <c r="A58" s="432"/>
      <c r="B58" s="432"/>
      <c r="C58" s="153" t="s">
        <v>5</v>
      </c>
      <c r="D58" s="306">
        <f>D52</f>
        <v>748</v>
      </c>
      <c r="E58" s="129">
        <f t="shared" ref="E58:F58" si="22">E40+E46+E52</f>
        <v>10308.721000000001</v>
      </c>
      <c r="F58" s="129">
        <f t="shared" si="22"/>
        <v>113628.28331</v>
      </c>
      <c r="G58" s="300">
        <f t="shared" ref="G58:G61" si="23">E58/$E$62</f>
        <v>0.12455365956505929</v>
      </c>
      <c r="H58" s="300">
        <f t="shared" ref="H58:H61" si="24">(E58-I58)/I58</f>
        <v>5.2365830188945209E-2</v>
      </c>
      <c r="I58" s="306">
        <f t="shared" ref="I58:J59" si="25">I40+I46+I52</f>
        <v>9795.7579999999998</v>
      </c>
      <c r="J58" s="129">
        <f t="shared" si="25"/>
        <v>107085.05291999999</v>
      </c>
      <c r="K58" s="300">
        <f t="shared" ref="K58:K61" si="26">I58/$I$62</f>
        <v>0.12314675644349012</v>
      </c>
    </row>
    <row r="59" spans="1:11" ht="11.1" customHeight="1">
      <c r="A59" s="432"/>
      <c r="B59" s="432"/>
      <c r="C59" s="153" t="s">
        <v>6</v>
      </c>
      <c r="D59" s="306">
        <f>D53</f>
        <v>23486</v>
      </c>
      <c r="E59" s="129">
        <f>E41+E47+E53</f>
        <v>7162.7640000000001</v>
      </c>
      <c r="F59" s="129">
        <f t="shared" ref="F59" si="27">F41+F47+F53</f>
        <v>78982.515140000003</v>
      </c>
      <c r="G59" s="300">
        <f t="shared" si="23"/>
        <v>8.6543080252231314E-2</v>
      </c>
      <c r="H59" s="300">
        <f t="shared" si="24"/>
        <v>1.2581273881370463E-2</v>
      </c>
      <c r="I59" s="306">
        <f>I41+I47+I53</f>
        <v>7073.7669999999998</v>
      </c>
      <c r="J59" s="129">
        <f t="shared" si="25"/>
        <v>77341.068039999998</v>
      </c>
      <c r="K59" s="300">
        <f t="shared" si="26"/>
        <v>8.8927417550229163E-2</v>
      </c>
    </row>
    <row r="60" spans="1:11" ht="11.1" customHeight="1">
      <c r="A60" s="432"/>
      <c r="B60" s="432"/>
      <c r="C60" s="153" t="s">
        <v>7</v>
      </c>
      <c r="D60" s="306">
        <f>D54</f>
        <v>343093</v>
      </c>
      <c r="E60" s="129">
        <f t="shared" ref="E60:F60" si="28">E42+E48+E54</f>
        <v>18129.400000000001</v>
      </c>
      <c r="F60" s="129">
        <f t="shared" si="28"/>
        <v>199899.09999999998</v>
      </c>
      <c r="G60" s="300">
        <f t="shared" si="23"/>
        <v>0.21904590450345737</v>
      </c>
      <c r="H60" s="300">
        <f t="shared" si="24"/>
        <v>8.5469317862039637E-2</v>
      </c>
      <c r="I60" s="306">
        <f t="shared" ref="I60:J61" si="29">I42+I48+I54</f>
        <v>16701.900000000001</v>
      </c>
      <c r="J60" s="129">
        <f t="shared" si="29"/>
        <v>182600.6</v>
      </c>
      <c r="K60" s="300">
        <f t="shared" si="26"/>
        <v>0.20996688683443668</v>
      </c>
    </row>
    <row r="61" spans="1:11" ht="11.1" customHeight="1">
      <c r="A61" s="432"/>
      <c r="B61" s="432"/>
      <c r="C61" s="153" t="s">
        <v>90</v>
      </c>
      <c r="D61" s="306">
        <f>D55</f>
        <v>30</v>
      </c>
      <c r="E61" s="129">
        <f>E43+E49+E55</f>
        <v>3129.1779999999999</v>
      </c>
      <c r="F61" s="129">
        <f t="shared" ref="F61" si="30">F43+F49+F55</f>
        <v>34483.484300000004</v>
      </c>
      <c r="G61" s="300">
        <f t="shared" si="23"/>
        <v>3.7807849424819337E-2</v>
      </c>
      <c r="H61" s="300">
        <f t="shared" si="24"/>
        <v>-5.0094711917916319E-2</v>
      </c>
      <c r="I61" s="306">
        <f>I43+I49+I55</f>
        <v>3294.2</v>
      </c>
      <c r="J61" s="129">
        <f t="shared" si="29"/>
        <v>36005.078970000002</v>
      </c>
      <c r="K61" s="300">
        <f t="shared" si="26"/>
        <v>4.141282839736804E-2</v>
      </c>
    </row>
    <row r="62" spans="1:11" ht="11.1" customHeight="1">
      <c r="A62" s="433"/>
      <c r="B62" s="433"/>
      <c r="C62" s="311" t="s">
        <v>0</v>
      </c>
      <c r="D62" s="314">
        <f>SUM(D57:D61)</f>
        <v>367528</v>
      </c>
      <c r="E62" s="312">
        <f>SUM(E57:E61)</f>
        <v>82765.3</v>
      </c>
      <c r="F62" s="312">
        <f>SUM(F57:F61)</f>
        <v>912304.16114999994</v>
      </c>
      <c r="G62" s="313">
        <f>SUM(G57:G61)</f>
        <v>1</v>
      </c>
      <c r="H62" s="313">
        <f>(E62-I62)/I62</f>
        <v>4.0478770614014059E-2</v>
      </c>
      <c r="I62" s="314">
        <f>SUM(I57:I61)</f>
        <v>79545.400000000009</v>
      </c>
      <c r="J62" s="312">
        <f>SUM(J57:J61)</f>
        <v>869546.03349000006</v>
      </c>
      <c r="K62" s="313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288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36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50</v>
      </c>
      <c r="E9" s="301">
        <v>8478.5049999999992</v>
      </c>
      <c r="F9" s="301">
        <v>93151.222720000005</v>
      </c>
      <c r="G9" s="302">
        <f>E9/$E$14</f>
        <v>0.79587209356900801</v>
      </c>
      <c r="H9" s="302">
        <f>(E9-I9)/I9</f>
        <v>0.27946128200179232</v>
      </c>
      <c r="I9" s="305">
        <v>6626.6210000000001</v>
      </c>
      <c r="J9" s="301">
        <v>72349.256559999994</v>
      </c>
      <c r="K9" s="302">
        <f>I9/$I$14</f>
        <v>0.77188363424577755</v>
      </c>
    </row>
    <row r="10" spans="1:16" ht="11.1" customHeight="1">
      <c r="A10" s="432"/>
      <c r="B10" s="432"/>
      <c r="C10" s="153" t="s">
        <v>5</v>
      </c>
      <c r="D10" s="306">
        <v>150</v>
      </c>
      <c r="E10" s="129">
        <v>733.44600000000003</v>
      </c>
      <c r="F10" s="129">
        <v>8057.9131399999997</v>
      </c>
      <c r="G10" s="300">
        <f>E10/$E$14</f>
        <v>6.884812871370774E-2</v>
      </c>
      <c r="H10" s="300">
        <f>(E10-I10)/I10</f>
        <v>0.21422209566821065</v>
      </c>
      <c r="I10" s="306">
        <v>604.04600000000005</v>
      </c>
      <c r="J10" s="129">
        <v>6594.7862599999999</v>
      </c>
      <c r="K10" s="300">
        <f>I10/$I$14</f>
        <v>7.0360629004076886E-2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5747</v>
      </c>
      <c r="E11" s="129">
        <v>437.697</v>
      </c>
      <c r="F11" s="129">
        <v>4808.8894899999996</v>
      </c>
      <c r="G11" s="300">
        <f>E11/$E$14</f>
        <v>4.1086350451981113E-2</v>
      </c>
      <c r="H11" s="300">
        <f t="shared" ref="H11:H13" si="0">(E11-I11)/I11</f>
        <v>0.18641830409055549</v>
      </c>
      <c r="I11" s="306">
        <v>368.923</v>
      </c>
      <c r="J11" s="129">
        <v>4028.1493799999998</v>
      </c>
      <c r="K11" s="300">
        <f>I11/$I$14</f>
        <v>4.2972976121141523E-2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74957</v>
      </c>
      <c r="E12" s="129">
        <v>651.1</v>
      </c>
      <c r="F12" s="129">
        <v>7152.9</v>
      </c>
      <c r="G12" s="300">
        <f>E12/$E$14</f>
        <v>6.1118359914015638E-2</v>
      </c>
      <c r="H12" s="300">
        <f t="shared" si="0"/>
        <v>9.391801075268813E-2</v>
      </c>
      <c r="I12" s="306">
        <v>595.20000000000005</v>
      </c>
      <c r="J12" s="129">
        <v>6498.5</v>
      </c>
      <c r="K12" s="300">
        <f>I12/$I$14</f>
        <v>6.9330227140361106E-2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12</v>
      </c>
      <c r="E13" s="129">
        <v>352.35199999999998</v>
      </c>
      <c r="F13" s="129">
        <v>3871.1895500000001</v>
      </c>
      <c r="G13" s="300">
        <f>E13/$E$14</f>
        <v>3.3075067351287415E-2</v>
      </c>
      <c r="H13" s="300">
        <f t="shared" si="0"/>
        <v>-9.7019553573716735E-2</v>
      </c>
      <c r="I13" s="306">
        <v>390.21</v>
      </c>
      <c r="J13" s="129">
        <v>4260.2846</v>
      </c>
      <c r="K13" s="300">
        <f>I13/$I$14</f>
        <v>4.5452533488642977E-2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80916</v>
      </c>
      <c r="E14" s="312">
        <v>10653.1</v>
      </c>
      <c r="F14" s="312">
        <v>117042.1149</v>
      </c>
      <c r="G14" s="313">
        <f>SUM(G9:G13)</f>
        <v>0.99999999999999989</v>
      </c>
      <c r="H14" s="313">
        <f>(E14-I14)/I14</f>
        <v>0.24089691322073389</v>
      </c>
      <c r="I14" s="314">
        <v>8585</v>
      </c>
      <c r="J14" s="312">
        <v>93730.976799999989</v>
      </c>
      <c r="K14" s="313">
        <f>SUM(K9:K13)</f>
        <v>1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50</v>
      </c>
      <c r="E15" s="301">
        <v>8723.634</v>
      </c>
      <c r="F15" s="301">
        <v>96113.099910000004</v>
      </c>
      <c r="G15" s="302">
        <f>E15/$E$20</f>
        <v>0.79513220858056921</v>
      </c>
      <c r="H15" s="302">
        <f>(E15-I15)/I15</f>
        <v>-9.117395372793706E-2</v>
      </c>
      <c r="I15" s="305">
        <v>9598.7939999999999</v>
      </c>
      <c r="J15" s="301">
        <v>104880.10808000001</v>
      </c>
      <c r="K15" s="302">
        <f>I15/$I$20</f>
        <v>0.83063291796469352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150</v>
      </c>
      <c r="E16" s="129">
        <v>765.09199999999998</v>
      </c>
      <c r="F16" s="129">
        <v>8429.4328000000005</v>
      </c>
      <c r="G16" s="300">
        <f>E16/$E$20</f>
        <v>6.9735765132664301E-2</v>
      </c>
      <c r="H16" s="300">
        <f>(E16-I16)/I16</f>
        <v>0.30598547372553697</v>
      </c>
      <c r="I16" s="306">
        <v>585.83500000000004</v>
      </c>
      <c r="J16" s="129">
        <v>6401.3234300000004</v>
      </c>
      <c r="K16" s="300">
        <f>I16/$I$20</f>
        <v>5.0695309795777084E-2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5745</v>
      </c>
      <c r="E17" s="129">
        <v>498.87400000000002</v>
      </c>
      <c r="F17" s="129">
        <v>5496.2812199999998</v>
      </c>
      <c r="G17" s="300">
        <f>E17/$E$20</f>
        <v>4.547081931949723E-2</v>
      </c>
      <c r="H17" s="300">
        <f t="shared" ref="H17:H20" si="1">(E17-I17)/I17</f>
        <v>9.6243264861253938E-2</v>
      </c>
      <c r="I17" s="306">
        <v>455.07600000000002</v>
      </c>
      <c r="J17" s="129">
        <v>4972.3132900000001</v>
      </c>
      <c r="K17" s="300">
        <f>I17/$I$20</f>
        <v>3.9380062305295949E-2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74894</v>
      </c>
      <c r="E18" s="129">
        <v>681</v>
      </c>
      <c r="F18" s="129">
        <v>7502.9</v>
      </c>
      <c r="G18" s="300">
        <f>E18/$E$20</f>
        <v>6.2071039894998764E-2</v>
      </c>
      <c r="H18" s="300">
        <f t="shared" si="1"/>
        <v>0.14376889486059796</v>
      </c>
      <c r="I18" s="306">
        <v>595.4</v>
      </c>
      <c r="J18" s="129">
        <v>6505.2</v>
      </c>
      <c r="K18" s="300">
        <f>I18/$I$20</f>
        <v>5.1523018345448243E-2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11</v>
      </c>
      <c r="E19" s="129">
        <v>302.7</v>
      </c>
      <c r="F19" s="129">
        <v>3335.0333000000001</v>
      </c>
      <c r="G19" s="300">
        <f>E19/$E$20</f>
        <v>2.7590167072270376E-2</v>
      </c>
      <c r="H19" s="300">
        <f t="shared" si="1"/>
        <v>-5.6700789978030179E-2</v>
      </c>
      <c r="I19" s="306">
        <v>320.89499999999998</v>
      </c>
      <c r="J19" s="129">
        <v>3506.2179900000001</v>
      </c>
      <c r="K19" s="300">
        <f>I19/$I$20</f>
        <v>2.776869158878504E-2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80850</v>
      </c>
      <c r="E20" s="312">
        <v>10971.300000000001</v>
      </c>
      <c r="F20" s="312">
        <v>120876.74722999999</v>
      </c>
      <c r="G20" s="313">
        <f>SUM(G15:G19)</f>
        <v>0.99999999999999989</v>
      </c>
      <c r="H20" s="313">
        <f t="shared" si="1"/>
        <v>-5.0597092419522378E-2</v>
      </c>
      <c r="I20" s="314">
        <v>11556.000000000002</v>
      </c>
      <c r="J20" s="312">
        <v>126265.16279000002</v>
      </c>
      <c r="K20" s="313">
        <f>SUM(K15:K19)</f>
        <v>0.99999999999999989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50</v>
      </c>
      <c r="E21" s="301">
        <v>12582.405000000001</v>
      </c>
      <c r="F21" s="301">
        <v>139108.41521000001</v>
      </c>
      <c r="G21" s="302">
        <f>E21/$E$26</f>
        <v>0.80301776129785751</v>
      </c>
      <c r="H21" s="302">
        <f>(E21-I21)/I21</f>
        <v>0.14276469858984539</v>
      </c>
      <c r="I21" s="305">
        <v>11010.495000000001</v>
      </c>
      <c r="J21" s="301">
        <v>120514.58560000001</v>
      </c>
      <c r="K21" s="302">
        <f>I21/$I$26</f>
        <v>0.78481022131936273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150</v>
      </c>
      <c r="E22" s="129">
        <v>885.51499999999999</v>
      </c>
      <c r="F22" s="129">
        <v>9790.0154399999992</v>
      </c>
      <c r="G22" s="300">
        <f>E22/$E$26</f>
        <v>5.6514177766148227E-2</v>
      </c>
      <c r="H22" s="300">
        <f t="shared" ref="H22:H26" si="2">(E22-I22)/I22</f>
        <v>7.6937390316605639E-2</v>
      </c>
      <c r="I22" s="306">
        <v>822.25300000000004</v>
      </c>
      <c r="J22" s="129">
        <v>8999.6578800000007</v>
      </c>
      <c r="K22" s="300">
        <f>I22/$I$26</f>
        <v>5.8608859902348619E-2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5738</v>
      </c>
      <c r="E23" s="129">
        <v>810.49400000000003</v>
      </c>
      <c r="F23" s="129">
        <v>8960.9993699999995</v>
      </c>
      <c r="G23" s="300">
        <f>E23/$E$26</f>
        <v>5.1726285827339506E-2</v>
      </c>
      <c r="H23" s="300">
        <f t="shared" si="2"/>
        <v>-4.32912441319264E-2</v>
      </c>
      <c r="I23" s="306">
        <v>847.16899999999998</v>
      </c>
      <c r="J23" s="129">
        <v>9272.9543400000002</v>
      </c>
      <c r="K23" s="300">
        <f>I23/$I$26</f>
        <v>6.0384831961224551E-2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74850</v>
      </c>
      <c r="E24" s="129">
        <v>1066.7</v>
      </c>
      <c r="F24" s="129">
        <v>11793</v>
      </c>
      <c r="G24" s="300">
        <f>E24/$E$26</f>
        <v>6.8077529373472292E-2</v>
      </c>
      <c r="H24" s="300">
        <f t="shared" si="2"/>
        <v>4.6605180533751962E-2</v>
      </c>
      <c r="I24" s="306">
        <v>1019.2</v>
      </c>
      <c r="J24" s="129">
        <v>11156.1</v>
      </c>
      <c r="K24" s="300">
        <f>I24/$I$26</f>
        <v>7.2646922556042617E-2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11</v>
      </c>
      <c r="E25" s="129">
        <v>323.786</v>
      </c>
      <c r="F25" s="129">
        <v>3579.73218</v>
      </c>
      <c r="G25" s="300">
        <f>E25/$E$26</f>
        <v>2.066424573518243E-2</v>
      </c>
      <c r="H25" s="300">
        <f t="shared" si="2"/>
        <v>-1.9967734417327708E-2</v>
      </c>
      <c r="I25" s="306">
        <v>330.38299999999998</v>
      </c>
      <c r="J25" s="129">
        <v>3616.1969399999998</v>
      </c>
      <c r="K25" s="300">
        <f>I25/$I$26</f>
        <v>2.3549164261021414E-2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80799</v>
      </c>
      <c r="E26" s="312">
        <v>15668.900000000001</v>
      </c>
      <c r="F26" s="312">
        <v>173232.16219999999</v>
      </c>
      <c r="G26" s="313">
        <f>SUM(G21:G25)</f>
        <v>1</v>
      </c>
      <c r="H26" s="313">
        <f t="shared" si="2"/>
        <v>0.11685377240813995</v>
      </c>
      <c r="I26" s="314">
        <v>14029.500000000002</v>
      </c>
      <c r="J26" s="312">
        <v>153559.49476</v>
      </c>
      <c r="K26" s="313">
        <f>SUM(K21:K25)</f>
        <v>1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50</v>
      </c>
      <c r="E27" s="301">
        <f>E9+E15+E21</f>
        <v>29784.544000000002</v>
      </c>
      <c r="F27" s="301">
        <f>F9+F15+F21</f>
        <v>328372.73784000002</v>
      </c>
      <c r="G27" s="302">
        <f>E27/$E$32</f>
        <v>0.79865670241035236</v>
      </c>
      <c r="H27" s="302">
        <f>(E27-I27)/I27</f>
        <v>9.3576238135608392E-2</v>
      </c>
      <c r="I27" s="305">
        <f>I9+I15+I21</f>
        <v>27235.910000000003</v>
      </c>
      <c r="J27" s="301">
        <f>J9+J15+J21</f>
        <v>297743.95023999998</v>
      </c>
      <c r="K27" s="302">
        <f>I27/$I$32</f>
        <v>0.79705915921628312</v>
      </c>
    </row>
    <row r="28" spans="1:20" ht="11.1" customHeight="1">
      <c r="A28" s="432"/>
      <c r="B28" s="432"/>
      <c r="C28" s="153" t="s">
        <v>5</v>
      </c>
      <c r="D28" s="306">
        <f>D22</f>
        <v>150</v>
      </c>
      <c r="E28" s="129">
        <f t="shared" ref="E28:F31" si="3">E10+E16+E22</f>
        <v>2384.0529999999999</v>
      </c>
      <c r="F28" s="129">
        <f t="shared" si="3"/>
        <v>26277.361379999998</v>
      </c>
      <c r="G28" s="300">
        <f>E28/$E$32</f>
        <v>6.3927112913043344E-2</v>
      </c>
      <c r="H28" s="300">
        <f t="shared" ref="H28:H31" si="4">(E28-I28)/I28</f>
        <v>0.18483808732420398</v>
      </c>
      <c r="I28" s="306">
        <f t="shared" ref="I28:J28" si="5">I10+I16+I22</f>
        <v>2012.134</v>
      </c>
      <c r="J28" s="129">
        <f t="shared" si="5"/>
        <v>21995.767570000004</v>
      </c>
      <c r="K28" s="300">
        <f>I28/$I$32</f>
        <v>5.8885120206025668E-2</v>
      </c>
    </row>
    <row r="29" spans="1:20" ht="11.1" customHeight="1">
      <c r="A29" s="432"/>
      <c r="B29" s="432"/>
      <c r="C29" s="153" t="s">
        <v>6</v>
      </c>
      <c r="D29" s="306">
        <f>D23</f>
        <v>5738</v>
      </c>
      <c r="E29" s="129">
        <f t="shared" si="3"/>
        <v>1747.0650000000001</v>
      </c>
      <c r="F29" s="129">
        <f t="shared" si="3"/>
        <v>19266.170079999996</v>
      </c>
      <c r="G29" s="300">
        <f>E29/$E$32</f>
        <v>4.6846618561511039E-2</v>
      </c>
      <c r="H29" s="300">
        <f t="shared" si="4"/>
        <v>4.5415541704963196E-2</v>
      </c>
      <c r="I29" s="306">
        <f t="shared" ref="I29:J29" si="6">I11+I17+I23</f>
        <v>1671.1680000000001</v>
      </c>
      <c r="J29" s="129">
        <f t="shared" si="6"/>
        <v>18273.417010000001</v>
      </c>
      <c r="K29" s="300">
        <f>I29/$I$32</f>
        <v>4.8906747047892191E-2</v>
      </c>
    </row>
    <row r="30" spans="1:20" ht="11.1" customHeight="1">
      <c r="A30" s="432"/>
      <c r="B30" s="432"/>
      <c r="C30" s="153" t="s">
        <v>7</v>
      </c>
      <c r="D30" s="306">
        <f>D24</f>
        <v>74850</v>
      </c>
      <c r="E30" s="129">
        <f t="shared" si="3"/>
        <v>2398.8000000000002</v>
      </c>
      <c r="F30" s="129">
        <f t="shared" si="3"/>
        <v>26448.799999999999</v>
      </c>
      <c r="G30" s="300">
        <f>E30/$E$32</f>
        <v>6.4322545872851147E-2</v>
      </c>
      <c r="H30" s="300">
        <f t="shared" si="4"/>
        <v>8.5528102090686939E-2</v>
      </c>
      <c r="I30" s="306">
        <f t="shared" ref="I30:J30" si="7">I12+I18+I24</f>
        <v>2209.8000000000002</v>
      </c>
      <c r="J30" s="129">
        <f t="shared" si="7"/>
        <v>24159.800000000003</v>
      </c>
      <c r="K30" s="300">
        <f>I30/$I$32</f>
        <v>6.4669817532667068E-2</v>
      </c>
    </row>
    <row r="31" spans="1:20" ht="11.1" customHeight="1">
      <c r="A31" s="432"/>
      <c r="B31" s="432"/>
      <c r="C31" s="153" t="s">
        <v>90</v>
      </c>
      <c r="D31" s="306">
        <f>D25</f>
        <v>11</v>
      </c>
      <c r="E31" s="129">
        <f>E13+E19+E25</f>
        <v>978.83799999999997</v>
      </c>
      <c r="F31" s="129">
        <f t="shared" si="3"/>
        <v>10785.955030000001</v>
      </c>
      <c r="G31" s="300">
        <f>E31/$E$32</f>
        <v>2.6247020242241896E-2</v>
      </c>
      <c r="H31" s="300">
        <f t="shared" si="4"/>
        <v>-6.0154317668566597E-2</v>
      </c>
      <c r="I31" s="306">
        <f>I13+I19+I25</f>
        <v>1041.4880000000001</v>
      </c>
      <c r="J31" s="129">
        <f t="shared" ref="J31" si="8">J13+J19+J25</f>
        <v>11382.69953</v>
      </c>
      <c r="K31" s="300">
        <f>I31/$I$32</f>
        <v>3.0479155997132031E-2</v>
      </c>
    </row>
    <row r="32" spans="1:20" ht="11.1" customHeight="1">
      <c r="A32" s="433"/>
      <c r="B32" s="433"/>
      <c r="C32" s="311" t="s">
        <v>0</v>
      </c>
      <c r="D32" s="314">
        <f>SUM(D27:D31)</f>
        <v>80799</v>
      </c>
      <c r="E32" s="312">
        <f>SUM(E27:E31)</f>
        <v>37293.30000000001</v>
      </c>
      <c r="F32" s="312">
        <f>SUM(F27:F31)</f>
        <v>411151.02433000004</v>
      </c>
      <c r="G32" s="313">
        <f>SUM(G27:G31)</f>
        <v>0.99999999999999978</v>
      </c>
      <c r="H32" s="313">
        <f>(E32-I32)/I32</f>
        <v>9.1388771015935094E-2</v>
      </c>
      <c r="I32" s="314">
        <f>SUM(I27:I31)</f>
        <v>34170.5</v>
      </c>
      <c r="J32" s="312">
        <f>SUM(J27:J31)</f>
        <v>373555.63434999995</v>
      </c>
      <c r="K32" s="313">
        <f>SUM(K27:K31)</f>
        <v>1.0000000000000002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37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80</v>
      </c>
      <c r="E39" s="301">
        <v>6363.7539999999999</v>
      </c>
      <c r="F39" s="301">
        <v>69916.118560000003</v>
      </c>
      <c r="G39" s="302">
        <f>E39/$E$44</f>
        <v>0.67152999525141133</v>
      </c>
      <c r="H39" s="302">
        <f>(E39-I39)/I39</f>
        <v>9.2427130800202886E-2</v>
      </c>
      <c r="I39" s="305">
        <v>5825.335</v>
      </c>
      <c r="J39" s="301">
        <v>63601.116699999999</v>
      </c>
      <c r="K39" s="302">
        <f>I39/$I$44</f>
        <v>0.64662000910211015</v>
      </c>
    </row>
    <row r="40" spans="1:11" ht="11.1" customHeight="1">
      <c r="A40" s="432"/>
      <c r="B40" s="432"/>
      <c r="C40" s="153" t="s">
        <v>5</v>
      </c>
      <c r="D40" s="306">
        <v>223</v>
      </c>
      <c r="E40" s="129">
        <v>901.48599999999999</v>
      </c>
      <c r="F40" s="129">
        <v>9904.3026200000004</v>
      </c>
      <c r="G40" s="300">
        <f t="shared" ref="G40" si="9">E40/$E$44</f>
        <v>9.512858122724635E-2</v>
      </c>
      <c r="H40" s="300">
        <f>(E40-I40)/I40</f>
        <v>-0.19141405624939462</v>
      </c>
      <c r="I40" s="306">
        <v>1114.8920000000001</v>
      </c>
      <c r="J40" s="129">
        <v>12172.13363</v>
      </c>
      <c r="K40" s="300">
        <f t="shared" ref="K40:K43" si="10">I40/$I$44</f>
        <v>0.12375450942956411</v>
      </c>
    </row>
    <row r="41" spans="1:11" ht="11.1" customHeight="1">
      <c r="A41" s="432"/>
      <c r="B41" s="432"/>
      <c r="C41" s="153" t="s">
        <v>6</v>
      </c>
      <c r="D41" s="306">
        <v>9695</v>
      </c>
      <c r="E41" s="129">
        <v>728.26099999999997</v>
      </c>
      <c r="F41" s="129">
        <v>8001.2071100000003</v>
      </c>
      <c r="G41" s="300">
        <f>E41/$E$44</f>
        <v>7.684915316836384E-2</v>
      </c>
      <c r="H41" s="300">
        <f t="shared" ref="H41:H43" si="11">(E41-I41)/I41</f>
        <v>3.318337681646711E-2</v>
      </c>
      <c r="I41" s="306">
        <v>704.87099999999998</v>
      </c>
      <c r="J41" s="129">
        <v>7696.1635500000002</v>
      </c>
      <c r="K41" s="300">
        <f t="shared" si="10"/>
        <v>7.8241627723695459E-2</v>
      </c>
    </row>
    <row r="42" spans="1:11" ht="11.1" customHeight="1">
      <c r="A42" s="432"/>
      <c r="B42" s="432"/>
      <c r="C42" s="153" t="s">
        <v>7</v>
      </c>
      <c r="D42" s="306">
        <v>103486</v>
      </c>
      <c r="E42" s="129">
        <v>1362.1</v>
      </c>
      <c r="F42" s="129">
        <v>14965.5</v>
      </c>
      <c r="G42" s="300">
        <f>E42/$E$44</f>
        <v>0.14373450113438505</v>
      </c>
      <c r="H42" s="300">
        <f t="shared" si="11"/>
        <v>9.379266040311568E-2</v>
      </c>
      <c r="I42" s="306">
        <v>1245.3</v>
      </c>
      <c r="J42" s="129">
        <v>13596.5</v>
      </c>
      <c r="K42" s="300">
        <f t="shared" si="10"/>
        <v>0.13822997258266825</v>
      </c>
    </row>
    <row r="43" spans="1:11" ht="11.1" customHeight="1">
      <c r="A43" s="432"/>
      <c r="B43" s="432"/>
      <c r="C43" s="153" t="s">
        <v>90</v>
      </c>
      <c r="D43" s="306">
        <v>15</v>
      </c>
      <c r="E43" s="129">
        <v>120.899</v>
      </c>
      <c r="F43" s="129">
        <v>1328.27575</v>
      </c>
      <c r="G43" s="300">
        <f>E43/$E$44</f>
        <v>1.2757769218593363E-2</v>
      </c>
      <c r="H43" s="300">
        <f t="shared" si="11"/>
        <v>2.0227506708747581E-2</v>
      </c>
      <c r="I43" s="306">
        <v>118.502</v>
      </c>
      <c r="J43" s="129">
        <v>1293.7874999999999</v>
      </c>
      <c r="K43" s="300">
        <f t="shared" si="10"/>
        <v>1.3153881161962059E-2</v>
      </c>
    </row>
    <row r="44" spans="1:11" ht="11.1" customHeight="1">
      <c r="A44" s="433"/>
      <c r="B44" s="433"/>
      <c r="C44" s="311" t="s">
        <v>0</v>
      </c>
      <c r="D44" s="314">
        <v>113499</v>
      </c>
      <c r="E44" s="312">
        <v>9476.5</v>
      </c>
      <c r="F44" s="312">
        <v>104115.40404000001</v>
      </c>
      <c r="G44" s="313">
        <f>SUM(G39:G43)</f>
        <v>0.99999999999999989</v>
      </c>
      <c r="H44" s="313">
        <f>(E44-I44)/I44</f>
        <v>5.1904228041159343E-2</v>
      </c>
      <c r="I44" s="314">
        <v>9008.9</v>
      </c>
      <c r="J44" s="312">
        <v>98359.701379999999</v>
      </c>
      <c r="K44" s="313">
        <f>SUM(K39:K43)</f>
        <v>1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80</v>
      </c>
      <c r="E45" s="301">
        <v>7019.8890000000001</v>
      </c>
      <c r="F45" s="301">
        <v>77342.570819999994</v>
      </c>
      <c r="G45" s="302">
        <f>E45/$E$50</f>
        <v>0.68385311538011917</v>
      </c>
      <c r="H45" s="302">
        <f>(E45-I45)/I45</f>
        <v>8.3628917604308656E-2</v>
      </c>
      <c r="I45" s="305">
        <v>6478.13</v>
      </c>
      <c r="J45" s="301">
        <v>70782.476110000003</v>
      </c>
      <c r="K45" s="302">
        <f>I45/$I$50</f>
        <v>0.66619327238510495</v>
      </c>
    </row>
    <row r="46" spans="1:11" ht="11.1" customHeight="1">
      <c r="A46" s="432"/>
      <c r="B46" s="432"/>
      <c r="C46" s="153" t="s">
        <v>5</v>
      </c>
      <c r="D46" s="306">
        <v>223</v>
      </c>
      <c r="E46" s="129">
        <v>920.88099999999997</v>
      </c>
      <c r="F46" s="129">
        <v>10145.374030000001</v>
      </c>
      <c r="G46" s="300">
        <f t="shared" ref="G46:G49" si="12">E46/$E$50</f>
        <v>8.9709016872540223E-2</v>
      </c>
      <c r="H46" s="300">
        <f>(E46-I46)/I46</f>
        <v>-0.20114491334208343</v>
      </c>
      <c r="I46" s="306">
        <v>1152.751</v>
      </c>
      <c r="J46" s="129">
        <v>12595.19702</v>
      </c>
      <c r="K46" s="300">
        <f t="shared" ref="K46:K49" si="13">I46/$I$50</f>
        <v>0.11854577801544613</v>
      </c>
    </row>
    <row r="47" spans="1:11" ht="11.1" customHeight="1">
      <c r="A47" s="432"/>
      <c r="B47" s="432"/>
      <c r="C47" s="153" t="s">
        <v>6</v>
      </c>
      <c r="D47" s="306">
        <v>9690</v>
      </c>
      <c r="E47" s="129">
        <v>788.01099999999997</v>
      </c>
      <c r="F47" s="129">
        <v>8681.9051999999992</v>
      </c>
      <c r="G47" s="300">
        <f t="shared" si="12"/>
        <v>7.6765284651054033E-2</v>
      </c>
      <c r="H47" s="300">
        <f t="shared" ref="H47:H49" si="14">(E47-I47)/I47</f>
        <v>9.419073366686237E-2</v>
      </c>
      <c r="I47" s="306">
        <v>720.17700000000002</v>
      </c>
      <c r="J47" s="129">
        <v>7868.3675400000002</v>
      </c>
      <c r="K47" s="300">
        <f t="shared" si="13"/>
        <v>7.4061044209746907E-2</v>
      </c>
    </row>
    <row r="48" spans="1:11" ht="11.1" customHeight="1">
      <c r="A48" s="432"/>
      <c r="B48" s="432"/>
      <c r="C48" s="153" t="s">
        <v>7</v>
      </c>
      <c r="D48" s="306">
        <v>103400</v>
      </c>
      <c r="E48" s="129">
        <v>1424.8</v>
      </c>
      <c r="F48" s="129">
        <v>15697.8</v>
      </c>
      <c r="G48" s="300">
        <f t="shared" si="12"/>
        <v>0.13879904921482289</v>
      </c>
      <c r="H48" s="300">
        <f t="shared" si="14"/>
        <v>0.1437745845709239</v>
      </c>
      <c r="I48" s="306">
        <v>1245.7</v>
      </c>
      <c r="J48" s="129">
        <v>13610.6</v>
      </c>
      <c r="K48" s="300">
        <f t="shared" si="13"/>
        <v>0.12810440040723561</v>
      </c>
    </row>
    <row r="49" spans="1:11" ht="11.1" customHeight="1">
      <c r="A49" s="432"/>
      <c r="B49" s="432"/>
      <c r="C49" s="153" t="s">
        <v>90</v>
      </c>
      <c r="D49" s="306">
        <v>15</v>
      </c>
      <c r="E49" s="129">
        <v>111.619</v>
      </c>
      <c r="F49" s="129">
        <v>1229.7642699999999</v>
      </c>
      <c r="G49" s="300">
        <f t="shared" si="12"/>
        <v>1.0873533881463586E-2</v>
      </c>
      <c r="H49" s="300">
        <f t="shared" si="14"/>
        <v>-0.12347065382984404</v>
      </c>
      <c r="I49" s="306">
        <v>127.342</v>
      </c>
      <c r="J49" s="129">
        <v>1391.38309</v>
      </c>
      <c r="K49" s="300">
        <f t="shared" si="13"/>
        <v>1.3095504982466241E-2</v>
      </c>
    </row>
    <row r="50" spans="1:11" ht="11.1" customHeight="1">
      <c r="A50" s="433"/>
      <c r="B50" s="433"/>
      <c r="C50" s="311" t="s">
        <v>0</v>
      </c>
      <c r="D50" s="314">
        <v>113408</v>
      </c>
      <c r="E50" s="312">
        <v>10265.200000000001</v>
      </c>
      <c r="F50" s="312">
        <v>113097.41432</v>
      </c>
      <c r="G50" s="313">
        <f>SUM(G45:G49)</f>
        <v>0.99999999999999989</v>
      </c>
      <c r="H50" s="313">
        <f t="shared" ref="H50" si="15">(E50-I50)/I50</f>
        <v>5.564525251694228E-2</v>
      </c>
      <c r="I50" s="314">
        <v>9724.1000000000022</v>
      </c>
      <c r="J50" s="312">
        <v>106248.02376000003</v>
      </c>
      <c r="K50" s="313">
        <f>SUM(K45:K49)</f>
        <v>0.99999999999999989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80</v>
      </c>
      <c r="E51" s="301">
        <v>8281.98</v>
      </c>
      <c r="F51" s="301">
        <v>91564.464399999997</v>
      </c>
      <c r="G51" s="302">
        <f>E51/$E$56</f>
        <v>0.63428939044657695</v>
      </c>
      <c r="H51" s="302">
        <f>(E51-I51)/I51</f>
        <v>0.11950176238821844</v>
      </c>
      <c r="I51" s="305">
        <v>7397.9160000000002</v>
      </c>
      <c r="J51" s="301">
        <v>80973.820949999994</v>
      </c>
      <c r="K51" s="302">
        <f>I51/$I$56</f>
        <v>0.59777275004444153</v>
      </c>
    </row>
    <row r="52" spans="1:11" ht="11.1" customHeight="1">
      <c r="A52" s="432"/>
      <c r="B52" s="432"/>
      <c r="C52" s="153" t="s">
        <v>5</v>
      </c>
      <c r="D52" s="306">
        <v>224</v>
      </c>
      <c r="E52" s="129">
        <v>1149.296</v>
      </c>
      <c r="F52" s="129">
        <v>12706.17497</v>
      </c>
      <c r="G52" s="300">
        <f t="shared" ref="G52:G55" si="16">E52/$E$56</f>
        <v>8.8020770308874105E-2</v>
      </c>
      <c r="H52" s="300">
        <f t="shared" ref="H52:H55" si="17">(E52-I52)/I52</f>
        <v>-0.16686408376477543</v>
      </c>
      <c r="I52" s="306">
        <v>1379.482</v>
      </c>
      <c r="J52" s="129">
        <v>15099.44161</v>
      </c>
      <c r="K52" s="300">
        <f t="shared" ref="K52:K55" si="18">I52/$I$56</f>
        <v>0.11146608704083776</v>
      </c>
    </row>
    <row r="53" spans="1:11" ht="11.1" customHeight="1">
      <c r="A53" s="432"/>
      <c r="B53" s="432"/>
      <c r="C53" s="153" t="s">
        <v>6</v>
      </c>
      <c r="D53" s="306">
        <v>9679</v>
      </c>
      <c r="E53" s="129">
        <v>1275.9870000000001</v>
      </c>
      <c r="F53" s="129">
        <v>14107.143889999999</v>
      </c>
      <c r="G53" s="300">
        <f t="shared" si="16"/>
        <v>9.7723613972474754E-2</v>
      </c>
      <c r="H53" s="300">
        <f t="shared" si="17"/>
        <v>-4.6640381766139084E-2</v>
      </c>
      <c r="I53" s="306">
        <v>1338.4110000000001</v>
      </c>
      <c r="J53" s="129">
        <v>14649.3485</v>
      </c>
      <c r="K53" s="300">
        <f t="shared" si="18"/>
        <v>0.10814743289322711</v>
      </c>
    </row>
    <row r="54" spans="1:11" ht="11.1" customHeight="1">
      <c r="A54" s="432"/>
      <c r="B54" s="432"/>
      <c r="C54" s="153" t="s">
        <v>7</v>
      </c>
      <c r="D54" s="306">
        <v>103338</v>
      </c>
      <c r="E54" s="129">
        <v>2231.6999999999998</v>
      </c>
      <c r="F54" s="129">
        <v>24673.8</v>
      </c>
      <c r="G54" s="300">
        <f t="shared" si="16"/>
        <v>0.1709185041088756</v>
      </c>
      <c r="H54" s="300">
        <f t="shared" si="17"/>
        <v>4.651817116060953E-2</v>
      </c>
      <c r="I54" s="306">
        <v>2132.5</v>
      </c>
      <c r="J54" s="129">
        <v>23341.4</v>
      </c>
      <c r="K54" s="300">
        <f t="shared" si="18"/>
        <v>0.1723120929556069</v>
      </c>
    </row>
    <row r="55" spans="1:11" ht="11.1" customHeight="1">
      <c r="A55" s="432"/>
      <c r="B55" s="432"/>
      <c r="C55" s="153" t="s">
        <v>90</v>
      </c>
      <c r="D55" s="306">
        <v>15</v>
      </c>
      <c r="E55" s="129">
        <v>118.137</v>
      </c>
      <c r="F55" s="129">
        <v>1306.1009200000001</v>
      </c>
      <c r="G55" s="300">
        <f t="shared" si="16"/>
        <v>9.0477211631985657E-3</v>
      </c>
      <c r="H55" s="300">
        <f t="shared" si="17"/>
        <v>-7.3369884933054089E-2</v>
      </c>
      <c r="I55" s="306">
        <v>127.491</v>
      </c>
      <c r="J55" s="129">
        <v>1395.4481499999999</v>
      </c>
      <c r="K55" s="300">
        <f t="shared" si="18"/>
        <v>1.0301637065886649E-2</v>
      </c>
    </row>
    <row r="56" spans="1:11" ht="11.1" customHeight="1">
      <c r="A56" s="433"/>
      <c r="B56" s="433"/>
      <c r="C56" s="311" t="s">
        <v>0</v>
      </c>
      <c r="D56" s="314">
        <v>113336</v>
      </c>
      <c r="E56" s="312">
        <v>13057.1</v>
      </c>
      <c r="F56" s="312">
        <v>144357.68417999998</v>
      </c>
      <c r="G56" s="313">
        <f>SUM(G51:G55)</f>
        <v>1</v>
      </c>
      <c r="H56" s="313">
        <f t="shared" ref="H56" si="19">(E56-I56)/I56</f>
        <v>5.5050986602886216E-2</v>
      </c>
      <c r="I56" s="314">
        <v>12375.800000000001</v>
      </c>
      <c r="J56" s="312">
        <v>135459.45921</v>
      </c>
      <c r="K56" s="313">
        <f>SUM(K51:K55)</f>
        <v>0.99999999999999989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80</v>
      </c>
      <c r="E57" s="301">
        <f>E39+E45+E51</f>
        <v>21665.623</v>
      </c>
      <c r="F57" s="301">
        <f>F39+F45+F51</f>
        <v>238823.15377999999</v>
      </c>
      <c r="G57" s="302">
        <f>E57/$E$62</f>
        <v>0.66056145346780992</v>
      </c>
      <c r="H57" s="302">
        <f>(E57-I57)/I57</f>
        <v>9.9700726563279912E-2</v>
      </c>
      <c r="I57" s="305">
        <f>I39+I45+I51</f>
        <v>19701.381000000001</v>
      </c>
      <c r="J57" s="301">
        <f>J39+J45+J51</f>
        <v>215357.41376</v>
      </c>
      <c r="K57" s="302">
        <f>I57/$I$62</f>
        <v>0.63330572056781365</v>
      </c>
    </row>
    <row r="58" spans="1:11" ht="11.1" customHeight="1">
      <c r="A58" s="432"/>
      <c r="B58" s="432"/>
      <c r="C58" s="153" t="s">
        <v>5</v>
      </c>
      <c r="D58" s="306">
        <f>D52</f>
        <v>224</v>
      </c>
      <c r="E58" s="129">
        <f t="shared" ref="E58:F59" si="20">E40+E46+E52</f>
        <v>2971.663</v>
      </c>
      <c r="F58" s="129">
        <f t="shared" si="20"/>
        <v>32755.851620000001</v>
      </c>
      <c r="G58" s="300">
        <f t="shared" ref="G58:G61" si="21">E58/$E$62</f>
        <v>9.0602796443772352E-2</v>
      </c>
      <c r="H58" s="300">
        <f t="shared" ref="H58:H61" si="22">(E58-I58)/I58</f>
        <v>-0.18520396202488262</v>
      </c>
      <c r="I58" s="306">
        <f t="shared" ref="I58:J58" si="23">I40+I46+I52</f>
        <v>3647.125</v>
      </c>
      <c r="J58" s="129">
        <f t="shared" si="23"/>
        <v>39866.772259999998</v>
      </c>
      <c r="K58" s="300">
        <f t="shared" ref="K58:K61" si="24">I58/$I$62</f>
        <v>0.11723772694543023</v>
      </c>
    </row>
    <row r="59" spans="1:11" ht="11.1" customHeight="1">
      <c r="A59" s="432"/>
      <c r="B59" s="432"/>
      <c r="C59" s="153" t="s">
        <v>6</v>
      </c>
      <c r="D59" s="306">
        <f>D53</f>
        <v>9679</v>
      </c>
      <c r="E59" s="129">
        <f>E41+E47+E53</f>
        <v>2792.259</v>
      </c>
      <c r="F59" s="129">
        <f t="shared" si="20"/>
        <v>30790.2562</v>
      </c>
      <c r="G59" s="300">
        <f t="shared" si="21"/>
        <v>8.5132962181543245E-2</v>
      </c>
      <c r="H59" s="300">
        <f t="shared" si="22"/>
        <v>1.0421721472980126E-2</v>
      </c>
      <c r="I59" s="306">
        <f>I41+I47+I53</f>
        <v>2763.4589999999998</v>
      </c>
      <c r="J59" s="129">
        <f t="shared" ref="J59" si="25">J41+J47+J53</f>
        <v>30213.87959</v>
      </c>
      <c r="K59" s="300">
        <f t="shared" si="24"/>
        <v>8.883206681067736E-2</v>
      </c>
    </row>
    <row r="60" spans="1:11" ht="11.1" customHeight="1">
      <c r="A60" s="432"/>
      <c r="B60" s="432"/>
      <c r="C60" s="153" t="s">
        <v>7</v>
      </c>
      <c r="D60" s="306">
        <f>D54</f>
        <v>103338</v>
      </c>
      <c r="E60" s="129">
        <f t="shared" ref="E60:F61" si="26">E42+E48+E54</f>
        <v>5018.5999999999995</v>
      </c>
      <c r="F60" s="129">
        <f t="shared" si="26"/>
        <v>55337.1</v>
      </c>
      <c r="G60" s="300">
        <f t="shared" si="21"/>
        <v>0.15301169554983721</v>
      </c>
      <c r="H60" s="300">
        <f t="shared" si="22"/>
        <v>8.5454742078511836E-2</v>
      </c>
      <c r="I60" s="306">
        <f t="shared" ref="I60:J60" si="27">I42+I48+I54</f>
        <v>4623.5</v>
      </c>
      <c r="J60" s="129">
        <f t="shared" si="27"/>
        <v>50548.5</v>
      </c>
      <c r="K60" s="300">
        <f t="shared" si="24"/>
        <v>0.14862354060587357</v>
      </c>
    </row>
    <row r="61" spans="1:11" ht="11.1" customHeight="1">
      <c r="A61" s="432"/>
      <c r="B61" s="432"/>
      <c r="C61" s="153" t="s">
        <v>90</v>
      </c>
      <c r="D61" s="306">
        <f>D55</f>
        <v>15</v>
      </c>
      <c r="E61" s="129">
        <f>E43+E49+E55</f>
        <v>350.65499999999997</v>
      </c>
      <c r="F61" s="129">
        <f t="shared" si="26"/>
        <v>3864.1409400000002</v>
      </c>
      <c r="G61" s="300">
        <f t="shared" si="21"/>
        <v>1.0691092357037453E-2</v>
      </c>
      <c r="H61" s="300">
        <f t="shared" si="22"/>
        <v>-6.0749728795853608E-2</v>
      </c>
      <c r="I61" s="306">
        <f>I43+I49+I55</f>
        <v>373.33499999999998</v>
      </c>
      <c r="J61" s="129">
        <f t="shared" ref="J61" si="28">J43+J49+J55</f>
        <v>4080.6187399999999</v>
      </c>
      <c r="K61" s="300">
        <f t="shared" si="24"/>
        <v>1.2000945070205216E-2</v>
      </c>
    </row>
    <row r="62" spans="1:11" ht="11.1" customHeight="1">
      <c r="A62" s="433"/>
      <c r="B62" s="433"/>
      <c r="C62" s="311" t="s">
        <v>0</v>
      </c>
      <c r="D62" s="314">
        <f>SUM(D57:D61)</f>
        <v>113336</v>
      </c>
      <c r="E62" s="312">
        <f>SUM(E57:E61)</f>
        <v>32798.799999999996</v>
      </c>
      <c r="F62" s="312">
        <f>SUM(F57:F61)</f>
        <v>361570.50254000002</v>
      </c>
      <c r="G62" s="313">
        <f>SUM(G57:G61)</f>
        <v>1</v>
      </c>
      <c r="H62" s="313">
        <f>(E62-I62)/I62</f>
        <v>5.4325464177338773E-2</v>
      </c>
      <c r="I62" s="314">
        <f>SUM(I57:I61)</f>
        <v>31108.799999999999</v>
      </c>
      <c r="J62" s="312">
        <f>SUM(J57:J61)</f>
        <v>340067.18435</v>
      </c>
      <c r="K62" s="313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289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38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86</v>
      </c>
      <c r="E9" s="301">
        <v>5677.7510000000002</v>
      </c>
      <c r="F9" s="301">
        <v>62379.307930000003</v>
      </c>
      <c r="G9" s="302">
        <f>E9/$E$14</f>
        <v>0.64300770929612716</v>
      </c>
      <c r="H9" s="302">
        <f>(E9-I9)/I9</f>
        <v>8.2980589420581993E-2</v>
      </c>
      <c r="I9" s="305">
        <v>5242.7079999999996</v>
      </c>
      <c r="J9" s="301">
        <v>57239.708960000004</v>
      </c>
      <c r="K9" s="302">
        <f>I9/$I$14</f>
        <v>0.63921455261572557</v>
      </c>
    </row>
    <row r="10" spans="1:16" ht="11.1" customHeight="1">
      <c r="A10" s="432"/>
      <c r="B10" s="432"/>
      <c r="C10" s="153" t="s">
        <v>5</v>
      </c>
      <c r="D10" s="306">
        <v>245</v>
      </c>
      <c r="E10" s="129">
        <v>1014.2569999999999</v>
      </c>
      <c r="F10" s="129">
        <v>11143.75534</v>
      </c>
      <c r="G10" s="300">
        <f>E10/$E$14</f>
        <v>0.11486503550570674</v>
      </c>
      <c r="H10" s="300">
        <f>(E10-I10)/I10</f>
        <v>2.7838862732142537E-2</v>
      </c>
      <c r="I10" s="306">
        <v>986.78599999999994</v>
      </c>
      <c r="J10" s="129">
        <v>10773.380090000001</v>
      </c>
      <c r="K10" s="300">
        <f>I10/$I$14</f>
        <v>0.12031338985834447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8647</v>
      </c>
      <c r="E11" s="129">
        <v>816.80600000000004</v>
      </c>
      <c r="F11" s="129">
        <v>8970.7231200000006</v>
      </c>
      <c r="G11" s="300">
        <f>E11/$E$14</f>
        <v>9.2503625995457084E-2</v>
      </c>
      <c r="H11" s="300">
        <f t="shared" ref="H11:H13" si="0">(E11-I11)/I11</f>
        <v>4.9791469864343081E-2</v>
      </c>
      <c r="I11" s="306">
        <v>778.06499999999994</v>
      </c>
      <c r="J11" s="129">
        <v>8491.2314599999991</v>
      </c>
      <c r="K11" s="300">
        <f>I11/$I$14</f>
        <v>9.4865186251256894E-2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80629</v>
      </c>
      <c r="E12" s="129">
        <v>1064.8</v>
      </c>
      <c r="F12" s="129">
        <v>11698.4</v>
      </c>
      <c r="G12" s="300">
        <f>E12/$E$14</f>
        <v>0.12058905169644039</v>
      </c>
      <c r="H12" s="300">
        <f t="shared" si="0"/>
        <v>9.3785310734463237E-2</v>
      </c>
      <c r="I12" s="306">
        <v>973.5</v>
      </c>
      <c r="J12" s="129">
        <v>10628.2</v>
      </c>
      <c r="K12" s="300">
        <f>I12/$I$14</f>
        <v>0.1186935009486336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8</v>
      </c>
      <c r="E13" s="129">
        <v>256.375</v>
      </c>
      <c r="F13" s="129">
        <v>2816.71009</v>
      </c>
      <c r="G13" s="300">
        <f>E13/$E$14</f>
        <v>2.9034577506268696E-2</v>
      </c>
      <c r="H13" s="300">
        <f t="shared" si="0"/>
        <v>0.16144478975074522</v>
      </c>
      <c r="I13" s="306">
        <v>220.738</v>
      </c>
      <c r="J13" s="129">
        <v>2410.0108300000002</v>
      </c>
      <c r="K13" s="300">
        <f>I13/$I$14</f>
        <v>2.6913370326039531E-2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89615</v>
      </c>
      <c r="E14" s="312">
        <v>8829.9889999999996</v>
      </c>
      <c r="F14" s="312">
        <v>97008.896479999981</v>
      </c>
      <c r="G14" s="313">
        <f>SUM(G9:G13)</f>
        <v>1</v>
      </c>
      <c r="H14" s="313">
        <f>(E14-I14)/I14</f>
        <v>7.6591995632176835E-2</v>
      </c>
      <c r="I14" s="314">
        <v>8201.7969999999987</v>
      </c>
      <c r="J14" s="312">
        <v>89542.531340000001</v>
      </c>
      <c r="K14" s="313">
        <f>SUM(K9:K13)</f>
        <v>1.0000000000000002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86</v>
      </c>
      <c r="E15" s="301">
        <v>5667.5020000000004</v>
      </c>
      <c r="F15" s="301">
        <v>62441.849479999997</v>
      </c>
      <c r="G15" s="302">
        <f>E15/$E$20</f>
        <v>0.63985468558054248</v>
      </c>
      <c r="H15" s="302">
        <f>(E15-I15)/I15</f>
        <v>6.3211327185736478E-3</v>
      </c>
      <c r="I15" s="305">
        <v>5631.902</v>
      </c>
      <c r="J15" s="301">
        <v>61535.632460000001</v>
      </c>
      <c r="K15" s="302">
        <f>I15/$I$20</f>
        <v>0.65487461002770941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244</v>
      </c>
      <c r="E16" s="129">
        <v>958.34199999999998</v>
      </c>
      <c r="F16" s="129">
        <v>10558.43298</v>
      </c>
      <c r="G16" s="300">
        <f>E16/$E$20</f>
        <v>0.10819574816005856</v>
      </c>
      <c r="H16" s="300">
        <f>(E16-I16)/I16</f>
        <v>-1.5421948666105686E-2</v>
      </c>
      <c r="I16" s="306">
        <v>973.35299999999995</v>
      </c>
      <c r="J16" s="129">
        <v>10635.00215</v>
      </c>
      <c r="K16" s="300">
        <f>I16/$I$20</f>
        <v>0.11318097621270772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8643</v>
      </c>
      <c r="E17" s="129">
        <v>871.59199999999998</v>
      </c>
      <c r="F17" s="129">
        <v>9598.6934899999997</v>
      </c>
      <c r="G17" s="300">
        <f>E17/$E$20</f>
        <v>9.8401769441725143E-2</v>
      </c>
      <c r="H17" s="300">
        <f t="shared" ref="H17:H20" si="1">(E17-I17)/I17</f>
        <v>8.8763250530271037E-2</v>
      </c>
      <c r="I17" s="306">
        <v>800.53399999999999</v>
      </c>
      <c r="J17" s="129">
        <v>8742.8553300000003</v>
      </c>
      <c r="K17" s="300">
        <f>I17/$I$20</f>
        <v>9.3085673554675202E-2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80562</v>
      </c>
      <c r="E18" s="129">
        <v>1113.7</v>
      </c>
      <c r="F18" s="129">
        <v>12270.8</v>
      </c>
      <c r="G18" s="300">
        <f>E18/$E$20</f>
        <v>0.12573549393207981</v>
      </c>
      <c r="H18" s="300">
        <f t="shared" si="1"/>
        <v>0.14378145219266714</v>
      </c>
      <c r="I18" s="306">
        <v>973.7</v>
      </c>
      <c r="J18" s="129">
        <v>10639.2</v>
      </c>
      <c r="K18" s="300">
        <f>I18/$I$20</f>
        <v>0.11322132519066928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8</v>
      </c>
      <c r="E19" s="129">
        <v>246.34700000000001</v>
      </c>
      <c r="F19" s="129">
        <v>2714.15789</v>
      </c>
      <c r="G19" s="300">
        <f>E19/$E$20</f>
        <v>2.7812302885594022E-2</v>
      </c>
      <c r="H19" s="300">
        <f t="shared" si="1"/>
        <v>0.11731623133059091</v>
      </c>
      <c r="I19" s="306">
        <v>220.48099999999999</v>
      </c>
      <c r="J19" s="129">
        <v>2409.05818</v>
      </c>
      <c r="K19" s="300">
        <f>I19/$I$20</f>
        <v>2.5637415014238423E-2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89543</v>
      </c>
      <c r="E20" s="312">
        <v>8857.4830000000002</v>
      </c>
      <c r="F20" s="312">
        <v>97583.933840000012</v>
      </c>
      <c r="G20" s="313">
        <f>SUM(G15:G19)</f>
        <v>1.0000000000000002</v>
      </c>
      <c r="H20" s="313">
        <f t="shared" si="1"/>
        <v>2.9943476547011308E-2</v>
      </c>
      <c r="I20" s="314">
        <v>8599.9699999999993</v>
      </c>
      <c r="J20" s="312">
        <v>93961.748120000004</v>
      </c>
      <c r="K20" s="313">
        <f>SUM(K15:K19)</f>
        <v>1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86</v>
      </c>
      <c r="E21" s="301">
        <v>6688.6549999999997</v>
      </c>
      <c r="F21" s="301">
        <v>73948.784039999999</v>
      </c>
      <c r="G21" s="302">
        <f>E21/$E$26</f>
        <v>0.58380035843298117</v>
      </c>
      <c r="H21" s="302">
        <f>(E21-I21)/I21</f>
        <v>8.3107397686088658E-2</v>
      </c>
      <c r="I21" s="305">
        <v>6175.4309999999996</v>
      </c>
      <c r="J21" s="301">
        <v>67592.963749999995</v>
      </c>
      <c r="K21" s="302">
        <f>I21/$I$26</f>
        <v>0.57000034059181559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246</v>
      </c>
      <c r="E22" s="129">
        <v>1375.4559999999999</v>
      </c>
      <c r="F22" s="129">
        <v>15206.39632</v>
      </c>
      <c r="G22" s="300">
        <f>E22/$E$26</f>
        <v>0.12005279175092667</v>
      </c>
      <c r="H22" s="300">
        <f t="shared" ref="H22:H26" si="2">(E22-I22)/I22</f>
        <v>5.5199719525002994E-2</v>
      </c>
      <c r="I22" s="306">
        <v>1303.5029999999999</v>
      </c>
      <c r="J22" s="129">
        <v>14267.220590000001</v>
      </c>
      <c r="K22" s="300">
        <f>I22/$I$26</f>
        <v>0.12031502804621304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8633</v>
      </c>
      <c r="E23" s="129">
        <v>1410.4350000000002</v>
      </c>
      <c r="F23" s="129">
        <v>15587.976570000001</v>
      </c>
      <c r="G23" s="300">
        <f>E23/$E$26</f>
        <v>0.12310583496180053</v>
      </c>
      <c r="H23" s="300">
        <f t="shared" si="2"/>
        <v>-4.5749958053010076E-2</v>
      </c>
      <c r="I23" s="306">
        <v>1478.056</v>
      </c>
      <c r="J23" s="129">
        <v>16174.392409999999</v>
      </c>
      <c r="K23" s="300">
        <f>I23/$I$26</f>
        <v>0.13642649774789431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80514</v>
      </c>
      <c r="E24" s="129">
        <v>1744.5</v>
      </c>
      <c r="F24" s="129">
        <v>19287.2</v>
      </c>
      <c r="G24" s="300">
        <f>E24/$E$26</f>
        <v>0.15226375486347191</v>
      </c>
      <c r="H24" s="300">
        <f t="shared" si="2"/>
        <v>4.6490701859628072E-2</v>
      </c>
      <c r="I24" s="306">
        <v>1667</v>
      </c>
      <c r="J24" s="129">
        <v>18245.7</v>
      </c>
      <c r="K24" s="300">
        <f>I24/$I$26</f>
        <v>0.15386627553065635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8</v>
      </c>
      <c r="E25" s="129">
        <v>238.047</v>
      </c>
      <c r="F25" s="129">
        <v>2631.8031999999998</v>
      </c>
      <c r="G25" s="300">
        <f>E25/$E$26</f>
        <v>2.0777259990819658E-2</v>
      </c>
      <c r="H25" s="300">
        <f t="shared" si="2"/>
        <v>0.13305536119718414</v>
      </c>
      <c r="I25" s="306">
        <v>210.09299999999999</v>
      </c>
      <c r="J25" s="129">
        <v>2299.5630700000002</v>
      </c>
      <c r="K25" s="300">
        <f>I25/$I$26</f>
        <v>1.9391858083420626E-2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89487</v>
      </c>
      <c r="E26" s="312">
        <v>11457.093000000001</v>
      </c>
      <c r="F26" s="312">
        <v>126662.16012999999</v>
      </c>
      <c r="G26" s="313">
        <f>SUM(G21:G25)</f>
        <v>0.99999999999999989</v>
      </c>
      <c r="H26" s="313">
        <f t="shared" si="2"/>
        <v>5.750463606379979E-2</v>
      </c>
      <c r="I26" s="314">
        <v>10834.083000000001</v>
      </c>
      <c r="J26" s="312">
        <v>118579.83981999999</v>
      </c>
      <c r="K26" s="313">
        <f>SUM(K21:K25)</f>
        <v>0.99999999999999989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86</v>
      </c>
      <c r="E27" s="301">
        <f>E9+E15+E21</f>
        <v>18033.907999999999</v>
      </c>
      <c r="F27" s="301">
        <f>F9+F15+F21</f>
        <v>198769.94144999998</v>
      </c>
      <c r="G27" s="302">
        <f>E27/$E$32</f>
        <v>0.6187743066331578</v>
      </c>
      <c r="H27" s="302">
        <f>(E27-I27)/I27</f>
        <v>5.7704670622199576E-2</v>
      </c>
      <c r="I27" s="305">
        <f>I9+I15+I21</f>
        <v>17050.041000000001</v>
      </c>
      <c r="J27" s="301">
        <f>J9+J15+J21</f>
        <v>186368.30517000001</v>
      </c>
      <c r="K27" s="302">
        <f>I27/$I$32</f>
        <v>0.61695373943627574</v>
      </c>
    </row>
    <row r="28" spans="1:20" ht="11.1" customHeight="1">
      <c r="A28" s="432"/>
      <c r="B28" s="432"/>
      <c r="C28" s="153" t="s">
        <v>5</v>
      </c>
      <c r="D28" s="306">
        <f>D22</f>
        <v>246</v>
      </c>
      <c r="E28" s="129">
        <f t="shared" ref="E28:F31" si="3">E10+E16+E22</f>
        <v>3348.0549999999998</v>
      </c>
      <c r="F28" s="129">
        <f t="shared" si="3"/>
        <v>36908.584640000001</v>
      </c>
      <c r="G28" s="300">
        <f>E28/$E$32</f>
        <v>0.11487750803623246</v>
      </c>
      <c r="H28" s="300">
        <f t="shared" ref="H28:H31" si="4">(E28-I28)/I28</f>
        <v>2.5864662852114299E-2</v>
      </c>
      <c r="I28" s="306">
        <f t="shared" ref="I28:J28" si="5">I10+I16+I22</f>
        <v>3263.6419999999998</v>
      </c>
      <c r="J28" s="129">
        <f t="shared" si="5"/>
        <v>35675.602830000003</v>
      </c>
      <c r="K28" s="300">
        <f>I28/$I$32</f>
        <v>0.11809450405903923</v>
      </c>
    </row>
    <row r="29" spans="1:20" ht="11.1" customHeight="1">
      <c r="A29" s="432"/>
      <c r="B29" s="432"/>
      <c r="C29" s="153" t="s">
        <v>6</v>
      </c>
      <c r="D29" s="306">
        <f>D23</f>
        <v>8633</v>
      </c>
      <c r="E29" s="129">
        <f t="shared" si="3"/>
        <v>3098.8330000000005</v>
      </c>
      <c r="F29" s="129">
        <f t="shared" si="3"/>
        <v>34157.393179999999</v>
      </c>
      <c r="G29" s="300">
        <f>E29/$E$32</f>
        <v>0.10632627386958771</v>
      </c>
      <c r="H29" s="300">
        <f t="shared" si="4"/>
        <v>1.3798744051913218E-2</v>
      </c>
      <c r="I29" s="306">
        <f t="shared" ref="I29:J29" si="6">I11+I17+I23</f>
        <v>3056.6549999999997</v>
      </c>
      <c r="J29" s="129">
        <f t="shared" si="6"/>
        <v>33408.479200000002</v>
      </c>
      <c r="K29" s="300">
        <f>I29/$I$32</f>
        <v>0.11060470367294653</v>
      </c>
    </row>
    <row r="30" spans="1:20" ht="11.1" customHeight="1">
      <c r="A30" s="432"/>
      <c r="B30" s="432"/>
      <c r="C30" s="153" t="s">
        <v>7</v>
      </c>
      <c r="D30" s="306">
        <f>D24</f>
        <v>80514</v>
      </c>
      <c r="E30" s="129">
        <f t="shared" si="3"/>
        <v>3923</v>
      </c>
      <c r="F30" s="129">
        <f t="shared" si="3"/>
        <v>43256.399999999994</v>
      </c>
      <c r="G30" s="300">
        <f>E30/$E$32</f>
        <v>0.13460485685753071</v>
      </c>
      <c r="H30" s="300">
        <f t="shared" si="4"/>
        <v>8.5440761440982851E-2</v>
      </c>
      <c r="I30" s="306">
        <f t="shared" ref="I30:J30" si="7">I12+I18+I24</f>
        <v>3614.2</v>
      </c>
      <c r="J30" s="129">
        <f t="shared" si="7"/>
        <v>39513.100000000006</v>
      </c>
      <c r="K30" s="300">
        <f>I30/$I$32</f>
        <v>0.13077940428827048</v>
      </c>
    </row>
    <row r="31" spans="1:20" ht="11.1" customHeight="1">
      <c r="A31" s="432"/>
      <c r="B31" s="432"/>
      <c r="C31" s="153" t="s">
        <v>90</v>
      </c>
      <c r="D31" s="306">
        <f>D25</f>
        <v>8</v>
      </c>
      <c r="E31" s="129">
        <f>E13+E19+E25</f>
        <v>740.76900000000001</v>
      </c>
      <c r="F31" s="129">
        <f t="shared" si="3"/>
        <v>8162.6711799999994</v>
      </c>
      <c r="G31" s="300">
        <f>E31/$E$32</f>
        <v>2.5417054603491248E-2</v>
      </c>
      <c r="H31" s="300">
        <f t="shared" si="4"/>
        <v>0.13734892033311222</v>
      </c>
      <c r="I31" s="306">
        <f>I13+I19+I25</f>
        <v>651.31200000000001</v>
      </c>
      <c r="J31" s="129">
        <f t="shared" ref="J31" si="8">J13+J19+J25</f>
        <v>7118.6320800000003</v>
      </c>
      <c r="K31" s="300">
        <f>I31/$I$32</f>
        <v>2.3567648543467993E-2</v>
      </c>
    </row>
    <row r="32" spans="1:20" ht="11.1" customHeight="1">
      <c r="A32" s="433"/>
      <c r="B32" s="433"/>
      <c r="C32" s="311" t="s">
        <v>0</v>
      </c>
      <c r="D32" s="314">
        <f>SUM(D27:D31)</f>
        <v>89487</v>
      </c>
      <c r="E32" s="312">
        <f>SUM(E27:E31)</f>
        <v>29144.565000000002</v>
      </c>
      <c r="F32" s="312">
        <f>SUM(F27:F31)</f>
        <v>321254.99044999998</v>
      </c>
      <c r="G32" s="313">
        <f>SUM(G27:G31)</f>
        <v>0.99999999999999989</v>
      </c>
      <c r="H32" s="313">
        <f>(E32-I32)/I32</f>
        <v>5.4592675817823587E-2</v>
      </c>
      <c r="I32" s="314">
        <f>SUM(I27:I31)</f>
        <v>27635.850000000002</v>
      </c>
      <c r="J32" s="312">
        <f>SUM(J27:J31)</f>
        <v>302084.11927999998</v>
      </c>
      <c r="K32" s="313">
        <f>SUM(K27:K31)</f>
        <v>1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39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183</v>
      </c>
      <c r="E39" s="301">
        <v>28040.069000000003</v>
      </c>
      <c r="F39" s="301">
        <v>307952.69793000002</v>
      </c>
      <c r="G39" s="302">
        <f>E39/$E$44</f>
        <v>0.77905399572727163</v>
      </c>
      <c r="H39" s="302">
        <f>(E39-I39)/I39</f>
        <v>4.7497960585096881E-3</v>
      </c>
      <c r="I39" s="305">
        <v>27907.513999999999</v>
      </c>
      <c r="J39" s="301">
        <v>304570.44575000001</v>
      </c>
      <c r="K39" s="302">
        <f>I39/$I$44</f>
        <v>0.78349305129113656</v>
      </c>
    </row>
    <row r="40" spans="1:11" ht="11.1" customHeight="1">
      <c r="A40" s="432"/>
      <c r="B40" s="432"/>
      <c r="C40" s="153" t="s">
        <v>5</v>
      </c>
      <c r="D40" s="306">
        <v>401</v>
      </c>
      <c r="E40" s="129">
        <v>1696.3880000000001</v>
      </c>
      <c r="F40" s="129">
        <v>18629.736870000001</v>
      </c>
      <c r="G40" s="300">
        <f t="shared" ref="G40" si="9">E40/$E$44</f>
        <v>4.7131761683746033E-2</v>
      </c>
      <c r="H40" s="300">
        <f>(E40-I40)/I40</f>
        <v>-1.2254328259484686E-2</v>
      </c>
      <c r="I40" s="306">
        <v>1717.434</v>
      </c>
      <c r="J40" s="129">
        <v>18744.370719999999</v>
      </c>
      <c r="K40" s="300">
        <f t="shared" ref="K40:K43" si="10">I40/$I$44</f>
        <v>4.8216319269826106E-2</v>
      </c>
    </row>
    <row r="41" spans="1:11" ht="11.1" customHeight="1">
      <c r="A41" s="432"/>
      <c r="B41" s="432"/>
      <c r="C41" s="153" t="s">
        <v>6</v>
      </c>
      <c r="D41" s="306">
        <v>17907</v>
      </c>
      <c r="E41" s="129">
        <v>1336.1390000000001</v>
      </c>
      <c r="F41" s="129">
        <v>14667.66648</v>
      </c>
      <c r="G41" s="300">
        <f>E41/$E$44</f>
        <v>3.7122748406826001E-2</v>
      </c>
      <c r="H41" s="300">
        <f t="shared" ref="H41:H43" si="11">(E41-I41)/I41</f>
        <v>3.9279269468902665E-2</v>
      </c>
      <c r="I41" s="306">
        <v>1285.6400000000001</v>
      </c>
      <c r="J41" s="129">
        <v>14015.396919999999</v>
      </c>
      <c r="K41" s="300">
        <f t="shared" si="10"/>
        <v>3.6093863697853452E-2</v>
      </c>
    </row>
    <row r="42" spans="1:11" ht="11.1" customHeight="1">
      <c r="A42" s="432"/>
      <c r="B42" s="432"/>
      <c r="C42" s="153" t="s">
        <v>7</v>
      </c>
      <c r="D42" s="306">
        <v>344787</v>
      </c>
      <c r="E42" s="129">
        <v>2962.7</v>
      </c>
      <c r="F42" s="129">
        <v>32549.9</v>
      </c>
      <c r="G42" s="300">
        <f>E42/$E$44</f>
        <v>8.231446481608827E-2</v>
      </c>
      <c r="H42" s="300">
        <f t="shared" si="11"/>
        <v>9.381230155800041E-2</v>
      </c>
      <c r="I42" s="306">
        <v>2708.6</v>
      </c>
      <c r="J42" s="129">
        <v>29572.3</v>
      </c>
      <c r="K42" s="300">
        <f t="shared" si="10"/>
        <v>7.6042935201149506E-2</v>
      </c>
    </row>
    <row r="43" spans="1:11" ht="11.1" customHeight="1">
      <c r="A43" s="432"/>
      <c r="B43" s="432"/>
      <c r="C43" s="153" t="s">
        <v>90</v>
      </c>
      <c r="D43" s="306">
        <v>35</v>
      </c>
      <c r="E43" s="129">
        <v>1957.163</v>
      </c>
      <c r="F43" s="129">
        <v>21493.275870000001</v>
      </c>
      <c r="G43" s="300">
        <f>E43/$E$44</f>
        <v>5.4377029366068037E-2</v>
      </c>
      <c r="H43" s="300">
        <f t="shared" si="11"/>
        <v>-2.1498247892796626E-2</v>
      </c>
      <c r="I43" s="306">
        <v>2000.1629999999998</v>
      </c>
      <c r="J43" s="129">
        <v>21833.585299999999</v>
      </c>
      <c r="K43" s="300">
        <f t="shared" si="10"/>
        <v>5.6153830540034255E-2</v>
      </c>
    </row>
    <row r="44" spans="1:11" ht="11.1" customHeight="1">
      <c r="A44" s="433"/>
      <c r="B44" s="433"/>
      <c r="C44" s="311" t="s">
        <v>0</v>
      </c>
      <c r="D44" s="314">
        <v>363313</v>
      </c>
      <c r="E44" s="312">
        <v>35992.459000000003</v>
      </c>
      <c r="F44" s="312">
        <v>395293.2771500001</v>
      </c>
      <c r="G44" s="313">
        <f>SUM(G39:G43)</f>
        <v>0.99999999999999989</v>
      </c>
      <c r="H44" s="313">
        <f>(E44-I44)/I44</f>
        <v>1.0474868000823489E-2</v>
      </c>
      <c r="I44" s="314">
        <v>35619.351000000002</v>
      </c>
      <c r="J44" s="312">
        <v>388736.09869000001</v>
      </c>
      <c r="K44" s="313">
        <f>SUM(K39:K43)</f>
        <v>0.99999999999999978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183</v>
      </c>
      <c r="E45" s="301">
        <v>23281.728000000003</v>
      </c>
      <c r="F45" s="301">
        <v>256439.55762000001</v>
      </c>
      <c r="G45" s="302">
        <f>E45/$E$50</f>
        <v>0.73576379032819261</v>
      </c>
      <c r="H45" s="302">
        <f>(E45-I45)/I45</f>
        <v>8.5714125827166296E-2</v>
      </c>
      <c r="I45" s="305">
        <v>21443.699999999997</v>
      </c>
      <c r="J45" s="301">
        <v>234169.35381</v>
      </c>
      <c r="K45" s="302">
        <f>I45/$I$50</f>
        <v>0.7248936155396325</v>
      </c>
    </row>
    <row r="46" spans="1:11" ht="11.1" customHeight="1">
      <c r="A46" s="432"/>
      <c r="B46" s="432"/>
      <c r="C46" s="153" t="s">
        <v>5</v>
      </c>
      <c r="D46" s="306">
        <v>401</v>
      </c>
      <c r="E46" s="129">
        <v>1926.4640000000002</v>
      </c>
      <c r="F46" s="129">
        <v>21216.8907</v>
      </c>
      <c r="G46" s="300">
        <f t="shared" ref="G46:G49" si="12">E46/$E$50</f>
        <v>6.0881325242302081E-2</v>
      </c>
      <c r="H46" s="300">
        <f>(E46-I46)/I46</f>
        <v>-9.4478684480677366E-2</v>
      </c>
      <c r="I46" s="306">
        <v>2127.4639999999999</v>
      </c>
      <c r="J46" s="129">
        <v>23239.384020000001</v>
      </c>
      <c r="K46" s="300">
        <f t="shared" ref="K46:K49" si="13">I46/$I$50</f>
        <v>7.1917862630535262E-2</v>
      </c>
    </row>
    <row r="47" spans="1:11" ht="11.1" customHeight="1">
      <c r="A47" s="432"/>
      <c r="B47" s="432"/>
      <c r="C47" s="153" t="s">
        <v>6</v>
      </c>
      <c r="D47" s="306">
        <v>17899</v>
      </c>
      <c r="E47" s="129">
        <v>1410.5540000000001</v>
      </c>
      <c r="F47" s="129">
        <v>15527.413040000001</v>
      </c>
      <c r="G47" s="300">
        <f t="shared" si="12"/>
        <v>4.457721340540502E-2</v>
      </c>
      <c r="H47" s="300">
        <f t="shared" ref="H47:H49" si="14">(E47-I47)/I47</f>
        <v>8.1468532808912295E-2</v>
      </c>
      <c r="I47" s="306">
        <v>1304.2949999999998</v>
      </c>
      <c r="J47" s="129">
        <v>14237.317590000001</v>
      </c>
      <c r="K47" s="300">
        <f t="shared" si="13"/>
        <v>4.409104390941232E-2</v>
      </c>
    </row>
    <row r="48" spans="1:11" ht="11.1" customHeight="1">
      <c r="A48" s="432"/>
      <c r="B48" s="432"/>
      <c r="C48" s="153" t="s">
        <v>7</v>
      </c>
      <c r="D48" s="306">
        <v>344500</v>
      </c>
      <c r="E48" s="129">
        <v>3098.9</v>
      </c>
      <c r="F48" s="129">
        <v>34142.6</v>
      </c>
      <c r="G48" s="300">
        <f t="shared" si="12"/>
        <v>9.7933384061871867E-2</v>
      </c>
      <c r="H48" s="300">
        <f t="shared" si="14"/>
        <v>0.14380098180341783</v>
      </c>
      <c r="I48" s="306">
        <v>2709.3</v>
      </c>
      <c r="J48" s="129">
        <v>29602.9</v>
      </c>
      <c r="K48" s="300">
        <f t="shared" si="13"/>
        <v>9.1586539290398894E-2</v>
      </c>
    </row>
    <row r="49" spans="1:11" ht="11.1" customHeight="1">
      <c r="A49" s="432"/>
      <c r="B49" s="432"/>
      <c r="C49" s="153" t="s">
        <v>90</v>
      </c>
      <c r="D49" s="306">
        <v>35</v>
      </c>
      <c r="E49" s="129">
        <v>1925.2919999999999</v>
      </c>
      <c r="F49" s="129">
        <v>21202.648139999998</v>
      </c>
      <c r="G49" s="300">
        <f t="shared" si="12"/>
        <v>6.0844286962228336E-2</v>
      </c>
      <c r="H49" s="300">
        <f t="shared" si="14"/>
        <v>-3.5955653675656549E-2</v>
      </c>
      <c r="I49" s="306">
        <v>1997.0989999999999</v>
      </c>
      <c r="J49" s="129">
        <v>21812.644659999998</v>
      </c>
      <c r="K49" s="300">
        <f t="shared" si="13"/>
        <v>6.7510938630021153E-2</v>
      </c>
    </row>
    <row r="50" spans="1:11" ht="11.1" customHeight="1">
      <c r="A50" s="433"/>
      <c r="B50" s="433"/>
      <c r="C50" s="311" t="s">
        <v>0</v>
      </c>
      <c r="D50" s="314">
        <v>363018</v>
      </c>
      <c r="E50" s="312">
        <v>31642.938000000006</v>
      </c>
      <c r="F50" s="312">
        <v>348529.10950000002</v>
      </c>
      <c r="G50" s="313">
        <f>SUM(G45:G49)</f>
        <v>0.99999999999999989</v>
      </c>
      <c r="H50" s="313">
        <f t="shared" ref="H50" si="15">(E50-I50)/I50</f>
        <v>6.9673784520229029E-2</v>
      </c>
      <c r="I50" s="314">
        <v>29581.857999999993</v>
      </c>
      <c r="J50" s="312">
        <v>323061.60008</v>
      </c>
      <c r="K50" s="313">
        <f>SUM(K45:K49)</f>
        <v>1.0000000000000002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183</v>
      </c>
      <c r="E51" s="301">
        <v>28094.641</v>
      </c>
      <c r="F51" s="301">
        <v>310460.08373999997</v>
      </c>
      <c r="G51" s="302">
        <f>E51/$E$56</f>
        <v>0.68147881847260783</v>
      </c>
      <c r="H51" s="302">
        <f>(E51-I51)/I51</f>
        <v>3.4836454006733067E-3</v>
      </c>
      <c r="I51" s="305">
        <v>27997.109</v>
      </c>
      <c r="J51" s="301">
        <v>306287.35527</v>
      </c>
      <c r="K51" s="302">
        <f>I51/$I$56</f>
        <v>0.70428802498427945</v>
      </c>
    </row>
    <row r="52" spans="1:11" ht="11.1" customHeight="1">
      <c r="A52" s="432"/>
      <c r="B52" s="432"/>
      <c r="C52" s="153" t="s">
        <v>5</v>
      </c>
      <c r="D52" s="306">
        <v>401</v>
      </c>
      <c r="E52" s="129">
        <v>3965.422</v>
      </c>
      <c r="F52" s="129">
        <v>43826.575470000003</v>
      </c>
      <c r="G52" s="300">
        <f t="shared" ref="G52:G55" si="16">E52/$E$56</f>
        <v>9.6187422338135084E-2</v>
      </c>
      <c r="H52" s="300">
        <f t="shared" ref="H52:H55" si="17">(E52-I52)/I52</f>
        <v>0.46044816439544811</v>
      </c>
      <c r="I52" s="306">
        <v>2715.2089999999998</v>
      </c>
      <c r="J52" s="129">
        <v>29709.246460000002</v>
      </c>
      <c r="K52" s="300">
        <f t="shared" ref="K52:K55" si="18">I52/$I$56</f>
        <v>6.8303094581284821E-2</v>
      </c>
    </row>
    <row r="53" spans="1:11" ht="11.1" customHeight="1">
      <c r="A53" s="432"/>
      <c r="B53" s="432"/>
      <c r="C53" s="153" t="s">
        <v>6</v>
      </c>
      <c r="D53" s="306">
        <v>17880</v>
      </c>
      <c r="E53" s="129">
        <v>2286.5140000000001</v>
      </c>
      <c r="F53" s="129">
        <v>25262.880110000002</v>
      </c>
      <c r="G53" s="300">
        <f t="shared" si="16"/>
        <v>5.5462921172086753E-2</v>
      </c>
      <c r="H53" s="300">
        <f t="shared" si="17"/>
        <v>-4.431324933595527E-2</v>
      </c>
      <c r="I53" s="306">
        <v>2392.5349999999999</v>
      </c>
      <c r="J53" s="129">
        <v>26173.480950000001</v>
      </c>
      <c r="K53" s="300">
        <f t="shared" si="18"/>
        <v>6.0185990984132076E-2</v>
      </c>
    </row>
    <row r="54" spans="1:11" ht="11.1" customHeight="1">
      <c r="A54" s="432"/>
      <c r="B54" s="432"/>
      <c r="C54" s="153" t="s">
        <v>7</v>
      </c>
      <c r="D54" s="306">
        <v>344297</v>
      </c>
      <c r="E54" s="129">
        <v>4854</v>
      </c>
      <c r="F54" s="129">
        <v>53665.3</v>
      </c>
      <c r="G54" s="300">
        <f t="shared" si="16"/>
        <v>0.11774125125379031</v>
      </c>
      <c r="H54" s="300">
        <f t="shared" si="17"/>
        <v>4.6457405367718627E-2</v>
      </c>
      <c r="I54" s="306">
        <v>4638.5069999999996</v>
      </c>
      <c r="J54" s="129">
        <v>50767.659</v>
      </c>
      <c r="K54" s="300">
        <f t="shared" si="18"/>
        <v>0.11668508108839934</v>
      </c>
    </row>
    <row r="55" spans="1:11" ht="11.1" customHeight="1">
      <c r="A55" s="432"/>
      <c r="B55" s="432"/>
      <c r="C55" s="153" t="s">
        <v>90</v>
      </c>
      <c r="D55" s="306">
        <v>35</v>
      </c>
      <c r="E55" s="129">
        <v>2025.4159999999999</v>
      </c>
      <c r="F55" s="129">
        <v>22382.576209999999</v>
      </c>
      <c r="G55" s="300">
        <f t="shared" si="16"/>
        <v>4.9129586763380091E-2</v>
      </c>
      <c r="H55" s="300">
        <f t="shared" si="17"/>
        <v>8.1727349518191765E-3</v>
      </c>
      <c r="I55" s="306">
        <v>2008.9970000000001</v>
      </c>
      <c r="J55" s="129">
        <v>21976.068459999999</v>
      </c>
      <c r="K55" s="300">
        <f t="shared" si="18"/>
        <v>5.053780836190417E-2</v>
      </c>
    </row>
    <row r="56" spans="1:11" ht="11.1" customHeight="1">
      <c r="A56" s="433"/>
      <c r="B56" s="433"/>
      <c r="C56" s="311" t="s">
        <v>0</v>
      </c>
      <c r="D56" s="314">
        <v>362796</v>
      </c>
      <c r="E56" s="312">
        <v>41225.992999999995</v>
      </c>
      <c r="F56" s="312">
        <v>455597.41553</v>
      </c>
      <c r="G56" s="313">
        <f>SUM(G51:G55)</f>
        <v>1</v>
      </c>
      <c r="H56" s="313">
        <f t="shared" ref="H56" si="19">(E56-I56)/I56</f>
        <v>3.7070405661731989E-2</v>
      </c>
      <c r="I56" s="314">
        <v>39752.357000000004</v>
      </c>
      <c r="J56" s="312">
        <v>434913.81013999996</v>
      </c>
      <c r="K56" s="313">
        <f>SUM(K51:K55)</f>
        <v>0.99999999999999989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183</v>
      </c>
      <c r="E57" s="301">
        <f>E39+E45+E51</f>
        <v>79416.438000000009</v>
      </c>
      <c r="F57" s="301">
        <f>F39+F45+F51</f>
        <v>874852.33929000003</v>
      </c>
      <c r="G57" s="302">
        <f>E57/$E$62</f>
        <v>0.72951886798432386</v>
      </c>
      <c r="H57" s="302">
        <f>(E57-I57)/I57</f>
        <v>2.6737683763357351E-2</v>
      </c>
      <c r="I57" s="305">
        <f>I39+I45+I51</f>
        <v>77348.322999999989</v>
      </c>
      <c r="J57" s="301">
        <f>J39+J45+J51</f>
        <v>845027.1548299999</v>
      </c>
      <c r="K57" s="302">
        <f>I57/$I$62</f>
        <v>0.73697660735033987</v>
      </c>
    </row>
    <row r="58" spans="1:11" ht="11.1" customHeight="1">
      <c r="A58" s="432"/>
      <c r="B58" s="432"/>
      <c r="C58" s="153" t="s">
        <v>5</v>
      </c>
      <c r="D58" s="306">
        <f>D52</f>
        <v>401</v>
      </c>
      <c r="E58" s="129">
        <f t="shared" ref="E58:F59" si="20">E40+E46+E52</f>
        <v>7588.2740000000003</v>
      </c>
      <c r="F58" s="129">
        <f t="shared" si="20"/>
        <v>83673.203039999993</v>
      </c>
      <c r="G58" s="300">
        <f t="shared" ref="G58:G61" si="21">E58/$E$62</f>
        <v>6.9705834180511558E-2</v>
      </c>
      <c r="H58" s="300">
        <f t="shared" ref="H58:H61" si="22">(E58-I58)/I58</f>
        <v>0.15673021796748138</v>
      </c>
      <c r="I58" s="306">
        <f t="shared" ref="I58:J58" si="23">I40+I46+I52</f>
        <v>6560.107</v>
      </c>
      <c r="J58" s="129">
        <f t="shared" si="23"/>
        <v>71693.001199999999</v>
      </c>
      <c r="K58" s="300">
        <f t="shared" ref="K58:K61" si="24">I58/$I$62</f>
        <v>6.2504850954754596E-2</v>
      </c>
    </row>
    <row r="59" spans="1:11" ht="11.1" customHeight="1">
      <c r="A59" s="432"/>
      <c r="B59" s="432"/>
      <c r="C59" s="153" t="s">
        <v>6</v>
      </c>
      <c r="D59" s="306">
        <f>D53</f>
        <v>17880</v>
      </c>
      <c r="E59" s="129">
        <f>E41+E47+E53</f>
        <v>5033.2070000000003</v>
      </c>
      <c r="F59" s="129">
        <f t="shared" si="20"/>
        <v>55457.959629999998</v>
      </c>
      <c r="G59" s="300">
        <f t="shared" si="21"/>
        <v>4.6235005817948857E-2</v>
      </c>
      <c r="H59" s="300">
        <f t="shared" si="22"/>
        <v>1.0183101955456028E-2</v>
      </c>
      <c r="I59" s="306">
        <f>I41+I47+I53</f>
        <v>4982.4699999999993</v>
      </c>
      <c r="J59" s="129">
        <f t="shared" ref="J59" si="25">J41+J47+J53</f>
        <v>54426.195460000003</v>
      </c>
      <c r="K59" s="300">
        <f t="shared" si="24"/>
        <v>4.7473089194511021E-2</v>
      </c>
    </row>
    <row r="60" spans="1:11" ht="11.1" customHeight="1">
      <c r="A60" s="432"/>
      <c r="B60" s="432"/>
      <c r="C60" s="153" t="s">
        <v>7</v>
      </c>
      <c r="D60" s="306">
        <f>D54</f>
        <v>344297</v>
      </c>
      <c r="E60" s="129">
        <f t="shared" ref="E60:F61" si="26">E42+E48+E54</f>
        <v>10915.6</v>
      </c>
      <c r="F60" s="129">
        <f t="shared" si="26"/>
        <v>120357.8</v>
      </c>
      <c r="G60" s="300">
        <f t="shared" si="21"/>
        <v>0.10027062854883627</v>
      </c>
      <c r="H60" s="300">
        <f t="shared" si="22"/>
        <v>8.5437373407818637E-2</v>
      </c>
      <c r="I60" s="306">
        <f t="shared" ref="I60:J60" si="27">I42+I48+I54</f>
        <v>10056.406999999999</v>
      </c>
      <c r="J60" s="129">
        <f t="shared" si="27"/>
        <v>109942.859</v>
      </c>
      <c r="K60" s="300">
        <f t="shared" si="24"/>
        <v>9.5817678076798252E-2</v>
      </c>
    </row>
    <row r="61" spans="1:11" ht="11.1" customHeight="1">
      <c r="A61" s="432"/>
      <c r="B61" s="432"/>
      <c r="C61" s="153" t="s">
        <v>90</v>
      </c>
      <c r="D61" s="306">
        <f>D55</f>
        <v>35</v>
      </c>
      <c r="E61" s="129">
        <f>E43+E49+E55</f>
        <v>5907.8710000000001</v>
      </c>
      <c r="F61" s="129">
        <f t="shared" si="26"/>
        <v>65078.500220000002</v>
      </c>
      <c r="G61" s="300">
        <f t="shared" si="21"/>
        <v>5.4269663468379373E-2</v>
      </c>
      <c r="H61" s="300">
        <f t="shared" si="22"/>
        <v>-1.6380911978654253E-2</v>
      </c>
      <c r="I61" s="306">
        <f>I43+I49+I55</f>
        <v>6006.259</v>
      </c>
      <c r="J61" s="129">
        <f t="shared" ref="J61" si="28">J43+J49+J55</f>
        <v>65622.298419999992</v>
      </c>
      <c r="K61" s="300">
        <f t="shared" si="24"/>
        <v>5.7227774423596049E-2</v>
      </c>
    </row>
    <row r="62" spans="1:11" ht="11.1" customHeight="1">
      <c r="A62" s="433"/>
      <c r="B62" s="433"/>
      <c r="C62" s="311" t="s">
        <v>0</v>
      </c>
      <c r="D62" s="314">
        <f>SUM(D57:D61)</f>
        <v>362796</v>
      </c>
      <c r="E62" s="312">
        <f>SUM(E57:E61)</f>
        <v>108861.39000000001</v>
      </c>
      <c r="F62" s="312">
        <f>SUM(F57:F61)</f>
        <v>1199419.8021800001</v>
      </c>
      <c r="G62" s="313">
        <f>SUM(G57:G61)</f>
        <v>0.99999999999999989</v>
      </c>
      <c r="H62" s="313">
        <f>(E62-I62)/I62</f>
        <v>3.7233837295247381E-2</v>
      </c>
      <c r="I62" s="314">
        <f>SUM(I57:I61)</f>
        <v>104953.56600000001</v>
      </c>
      <c r="J62" s="312">
        <f>SUM(J57:J61)</f>
        <v>1146711.5089099999</v>
      </c>
      <c r="K62" s="313">
        <f>SUM(K57:K61)</f>
        <v>0.99999999999999978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290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40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120</v>
      </c>
      <c r="E9" s="301">
        <v>13668.873</v>
      </c>
      <c r="F9" s="301">
        <v>150175.33867999999</v>
      </c>
      <c r="G9" s="302">
        <f>E9/$E$14</f>
        <v>0.75336744985862869</v>
      </c>
      <c r="H9" s="302">
        <f>(E9-I9)/I9</f>
        <v>0.13605444268818462</v>
      </c>
      <c r="I9" s="305">
        <v>12031.882</v>
      </c>
      <c r="J9" s="301">
        <v>131362.76074999999</v>
      </c>
      <c r="K9" s="302">
        <f>I9/$I$14</f>
        <v>0.74033238985970962</v>
      </c>
    </row>
    <row r="10" spans="1:16" ht="11.1" customHeight="1">
      <c r="A10" s="432"/>
      <c r="B10" s="432"/>
      <c r="C10" s="153" t="s">
        <v>5</v>
      </c>
      <c r="D10" s="306">
        <v>320</v>
      </c>
      <c r="E10" s="129">
        <v>1147.8810000000001</v>
      </c>
      <c r="F10" s="129">
        <v>12611.389010000001</v>
      </c>
      <c r="G10" s="300">
        <f>E10/$E$14</f>
        <v>6.326609236263829E-2</v>
      </c>
      <c r="H10" s="300">
        <f>(E10-I10)/I10</f>
        <v>3.3662344585632283E-2</v>
      </c>
      <c r="I10" s="306">
        <v>1110.499</v>
      </c>
      <c r="J10" s="129">
        <v>12123.848770000001</v>
      </c>
      <c r="K10" s="300">
        <f>I10/$I$14</f>
        <v>6.8329990155057849E-2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12918</v>
      </c>
      <c r="E11" s="129">
        <v>968.8</v>
      </c>
      <c r="F11" s="129">
        <v>10643.5</v>
      </c>
      <c r="G11" s="300">
        <f>E11/$E$14</f>
        <v>5.3395944597849396E-2</v>
      </c>
      <c r="H11" s="300">
        <f t="shared" ref="H11:H13" si="0">(E11-I11)/I11</f>
        <v>5.098719895855934E-2</v>
      </c>
      <c r="I11" s="306">
        <v>921.8</v>
      </c>
      <c r="J11" s="129">
        <v>10064</v>
      </c>
      <c r="K11" s="300">
        <f>I11/$I$14</f>
        <v>5.6719173024858481E-2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166594</v>
      </c>
      <c r="E12" s="129">
        <v>1963.5</v>
      </c>
      <c r="F12" s="129">
        <v>21572.2</v>
      </c>
      <c r="G12" s="300">
        <f>E12/$E$14</f>
        <v>0.10821938193422512</v>
      </c>
      <c r="H12" s="300">
        <f t="shared" si="0"/>
        <v>9.3810929753217143E-2</v>
      </c>
      <c r="I12" s="306">
        <v>1795.1</v>
      </c>
      <c r="J12" s="129">
        <v>19598.8</v>
      </c>
      <c r="K12" s="300">
        <f>I12/$I$14</f>
        <v>0.11045409795717451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15</v>
      </c>
      <c r="E13" s="129">
        <v>394.64600000000002</v>
      </c>
      <c r="F13" s="129">
        <v>4335.8485600000004</v>
      </c>
      <c r="G13" s="300">
        <f>E13/$E$14</f>
        <v>2.1751131246658624E-2</v>
      </c>
      <c r="H13" s="300">
        <f t="shared" si="0"/>
        <v>4.9068163241402143E-3</v>
      </c>
      <c r="I13" s="306">
        <v>392.71899999999999</v>
      </c>
      <c r="J13" s="129">
        <v>4287.6705199999997</v>
      </c>
      <c r="K13" s="300">
        <f>I13/$I$14</f>
        <v>2.4164349003199609E-2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179967</v>
      </c>
      <c r="E14" s="312">
        <v>18143.699999999997</v>
      </c>
      <c r="F14" s="312">
        <v>199338.27625000002</v>
      </c>
      <c r="G14" s="313">
        <f>SUM(G9:G13)</f>
        <v>1</v>
      </c>
      <c r="H14" s="313">
        <f>(E14-I14)/I14</f>
        <v>0.11639798178685695</v>
      </c>
      <c r="I14" s="314">
        <v>16251.999999999998</v>
      </c>
      <c r="J14" s="312">
        <v>177437.08003999997</v>
      </c>
      <c r="K14" s="313">
        <f>SUM(K9:K13)</f>
        <v>1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120</v>
      </c>
      <c r="E15" s="301">
        <v>12952.508</v>
      </c>
      <c r="F15" s="301">
        <v>142705.79553</v>
      </c>
      <c r="G15" s="302">
        <f>E15/$E$20</f>
        <v>0.73107382133644883</v>
      </c>
      <c r="H15" s="302">
        <f>(E15-I15)/I15</f>
        <v>-2.2268781901268374E-2</v>
      </c>
      <c r="I15" s="305">
        <v>13247.513999999999</v>
      </c>
      <c r="J15" s="301">
        <v>144746.47302</v>
      </c>
      <c r="K15" s="302">
        <f>I15/$I$20</f>
        <v>0.75036755085048168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320</v>
      </c>
      <c r="E16" s="129">
        <v>1283.7159999999999</v>
      </c>
      <c r="F16" s="129">
        <v>14143.791289999999</v>
      </c>
      <c r="G16" s="300">
        <f>E16/$E$20</f>
        <v>7.2456327502808004E-2</v>
      </c>
      <c r="H16" s="300">
        <f>(E16-I16)/I16</f>
        <v>1.3269345373173144E-2</v>
      </c>
      <c r="I16" s="306">
        <v>1266.905</v>
      </c>
      <c r="J16" s="129">
        <v>13842.151589999999</v>
      </c>
      <c r="K16" s="300">
        <f>I16/$I$20</f>
        <v>7.176021116190022E-2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12912</v>
      </c>
      <c r="E17" s="129">
        <v>1032.7</v>
      </c>
      <c r="F17" s="129">
        <v>11377.6</v>
      </c>
      <c r="G17" s="300">
        <f>E17/$E$20</f>
        <v>5.8288320323303472E-2</v>
      </c>
      <c r="H17" s="300">
        <f t="shared" ref="H17:H20" si="1">(E17-I17)/I17</f>
        <v>9.1072371896460697E-2</v>
      </c>
      <c r="I17" s="306">
        <v>946.5</v>
      </c>
      <c r="J17" s="129">
        <v>10341.6</v>
      </c>
      <c r="K17" s="300">
        <f>I17/$I$20</f>
        <v>5.3611786096620158E-2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166457</v>
      </c>
      <c r="E18" s="129">
        <v>2053.8000000000002</v>
      </c>
      <c r="F18" s="129">
        <v>22627.7</v>
      </c>
      <c r="G18" s="300">
        <f>E18/$E$20</f>
        <v>0.11592190595526355</v>
      </c>
      <c r="H18" s="300">
        <f t="shared" si="1"/>
        <v>0.14379594564490994</v>
      </c>
      <c r="I18" s="306">
        <v>1795.6</v>
      </c>
      <c r="J18" s="129">
        <v>19619.099999999999</v>
      </c>
      <c r="K18" s="300">
        <f>I18/$I$20</f>
        <v>0.10170662769687391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15</v>
      </c>
      <c r="E19" s="129">
        <v>394.37599999999998</v>
      </c>
      <c r="F19" s="129">
        <v>4345.08194</v>
      </c>
      <c r="G19" s="300">
        <f>E19/$E$20</f>
        <v>2.2259624882175973E-2</v>
      </c>
      <c r="H19" s="300">
        <f t="shared" si="1"/>
        <v>-9.5559557085848068E-3</v>
      </c>
      <c r="I19" s="306">
        <v>398.18099999999998</v>
      </c>
      <c r="J19" s="129">
        <v>4350.6606300000003</v>
      </c>
      <c r="K19" s="300">
        <f>I19/$I$20</f>
        <v>2.2553824194123943E-2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179824</v>
      </c>
      <c r="E20" s="312">
        <v>17717.100000000002</v>
      </c>
      <c r="F20" s="312">
        <v>195199.96876000002</v>
      </c>
      <c r="G20" s="313">
        <f>SUM(G15:G19)</f>
        <v>0.99999999999999967</v>
      </c>
      <c r="H20" s="313">
        <f t="shared" si="1"/>
        <v>3.5344695746742484E-3</v>
      </c>
      <c r="I20" s="314">
        <v>17654.7</v>
      </c>
      <c r="J20" s="312">
        <v>192899.98524000001</v>
      </c>
      <c r="K20" s="313">
        <f>SUM(K15:K19)</f>
        <v>1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121</v>
      </c>
      <c r="E21" s="301">
        <v>16593.752</v>
      </c>
      <c r="F21" s="301">
        <v>183457.76029999999</v>
      </c>
      <c r="G21" s="302">
        <f>E21/$E$26</f>
        <v>0.70344401911035936</v>
      </c>
      <c r="H21" s="302">
        <f>(E21-I21)/I21</f>
        <v>0.42137808922437286</v>
      </c>
      <c r="I21" s="305">
        <v>11674.411</v>
      </c>
      <c r="J21" s="301">
        <v>127782.35769999999</v>
      </c>
      <c r="K21" s="302">
        <f>I21/$I$26</f>
        <v>0.63642965393924866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321</v>
      </c>
      <c r="E22" s="129">
        <v>1687.635</v>
      </c>
      <c r="F22" s="129">
        <v>18658.561570000002</v>
      </c>
      <c r="G22" s="300">
        <f>E22/$E$26</f>
        <v>7.1542394221108724E-2</v>
      </c>
      <c r="H22" s="300">
        <f t="shared" ref="H22:H26" si="2">(E22-I22)/I22</f>
        <v>0.17664591752215048</v>
      </c>
      <c r="I22" s="306">
        <v>1434.2760000000001</v>
      </c>
      <c r="J22" s="129">
        <v>15698.80978</v>
      </c>
      <c r="K22" s="300">
        <f>I22/$I$26</f>
        <v>7.8189450271484343E-2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12897</v>
      </c>
      <c r="E23" s="129">
        <v>1676.7</v>
      </c>
      <c r="F23" s="129">
        <v>18536.900000000001</v>
      </c>
      <c r="G23" s="300">
        <f>E23/$E$26</f>
        <v>7.1078836591166344E-2</v>
      </c>
      <c r="H23" s="300">
        <f t="shared" si="2"/>
        <v>-4.6408462719672361E-2</v>
      </c>
      <c r="I23" s="306">
        <v>1758.3</v>
      </c>
      <c r="J23" s="129">
        <v>19245.900000000001</v>
      </c>
      <c r="K23" s="300">
        <f>I23/$I$26</f>
        <v>9.5853594714232757E-2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166359</v>
      </c>
      <c r="E24" s="129">
        <v>3217</v>
      </c>
      <c r="F24" s="129">
        <v>35566.199999999997</v>
      </c>
      <c r="G24" s="300">
        <f>E24/$E$26</f>
        <v>0.1363753905372351</v>
      </c>
      <c r="H24" s="300">
        <f t="shared" si="2"/>
        <v>4.6553238556882107E-2</v>
      </c>
      <c r="I24" s="306">
        <v>3073.9</v>
      </c>
      <c r="J24" s="129">
        <v>33645.599999999999</v>
      </c>
      <c r="K24" s="300">
        <f>I24/$I$26</f>
        <v>0.16757343160557361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15</v>
      </c>
      <c r="E25" s="129">
        <v>414.21300000000002</v>
      </c>
      <c r="F25" s="129">
        <v>4579.4732999999997</v>
      </c>
      <c r="G25" s="300">
        <f>E25/$E$26</f>
        <v>1.7559359540130486E-2</v>
      </c>
      <c r="H25" s="300">
        <f t="shared" si="2"/>
        <v>2.855631678142995E-2</v>
      </c>
      <c r="I25" s="306">
        <v>402.71300000000002</v>
      </c>
      <c r="J25" s="129">
        <v>4407.8779800000002</v>
      </c>
      <c r="K25" s="300">
        <f>I25/$I$26</f>
        <v>2.1953869469460742E-2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179713</v>
      </c>
      <c r="E26" s="312">
        <v>23589.3</v>
      </c>
      <c r="F26" s="312">
        <v>260798.89516999997</v>
      </c>
      <c r="G26" s="313">
        <f>SUM(G21:G25)</f>
        <v>1</v>
      </c>
      <c r="H26" s="313">
        <f t="shared" si="2"/>
        <v>0.28596894829804409</v>
      </c>
      <c r="I26" s="314">
        <v>18343.599999999999</v>
      </c>
      <c r="J26" s="312">
        <v>200780.54545999999</v>
      </c>
      <c r="K26" s="313">
        <f>SUM(K21:K25)</f>
        <v>1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121</v>
      </c>
      <c r="E27" s="301">
        <f>E9+E15+E21</f>
        <v>43215.133000000002</v>
      </c>
      <c r="F27" s="301">
        <f>F9+F15+F21</f>
        <v>476338.89451000001</v>
      </c>
      <c r="G27" s="302">
        <f>E27/$E$32</f>
        <v>0.72691438702373923</v>
      </c>
      <c r="H27" s="302">
        <f>(E27-I27)/I27</f>
        <v>0.16943656170526628</v>
      </c>
      <c r="I27" s="305">
        <f>I9+I15+I21</f>
        <v>36953.807000000001</v>
      </c>
      <c r="J27" s="301">
        <f>J9+J15+J21</f>
        <v>403891.59146999998</v>
      </c>
      <c r="K27" s="302">
        <f>I27/$I$32</f>
        <v>0.70724583399521157</v>
      </c>
    </row>
    <row r="28" spans="1:20" ht="11.1" customHeight="1">
      <c r="A28" s="432"/>
      <c r="B28" s="432"/>
      <c r="C28" s="153" t="s">
        <v>5</v>
      </c>
      <c r="D28" s="306">
        <f>D22</f>
        <v>321</v>
      </c>
      <c r="E28" s="129">
        <f t="shared" ref="E28:F31" si="3">E10+E16+E22</f>
        <v>4119.232</v>
      </c>
      <c r="F28" s="129">
        <f t="shared" si="3"/>
        <v>45413.741869999998</v>
      </c>
      <c r="G28" s="300">
        <f>E28/$E$32</f>
        <v>6.9288899429942083E-2</v>
      </c>
      <c r="H28" s="300">
        <f t="shared" ref="H28:H31" si="4">(E28-I28)/I28</f>
        <v>8.0686731310078405E-2</v>
      </c>
      <c r="I28" s="306">
        <f t="shared" ref="I28:J28" si="5">I10+I16+I22</f>
        <v>3811.6800000000003</v>
      </c>
      <c r="J28" s="129">
        <f t="shared" si="5"/>
        <v>41664.810140000001</v>
      </c>
      <c r="K28" s="300">
        <f>I28/$I$32</f>
        <v>7.2950394543189231E-2</v>
      </c>
    </row>
    <row r="29" spans="1:20" ht="11.1" customHeight="1">
      <c r="A29" s="432"/>
      <c r="B29" s="432"/>
      <c r="C29" s="153" t="s">
        <v>6</v>
      </c>
      <c r="D29" s="306">
        <f>D23</f>
        <v>12897</v>
      </c>
      <c r="E29" s="129">
        <f t="shared" si="3"/>
        <v>3678.2</v>
      </c>
      <c r="F29" s="129">
        <f t="shared" si="3"/>
        <v>40558</v>
      </c>
      <c r="G29" s="300">
        <f>E29/$E$32</f>
        <v>6.1870375323170176E-2</v>
      </c>
      <c r="H29" s="300">
        <f t="shared" si="4"/>
        <v>1.422820272431476E-2</v>
      </c>
      <c r="I29" s="306">
        <f t="shared" ref="I29:J29" si="6">I11+I17+I23</f>
        <v>3626.6</v>
      </c>
      <c r="J29" s="129">
        <f t="shared" si="6"/>
        <v>39651.5</v>
      </c>
      <c r="K29" s="300">
        <f>I29/$I$32</f>
        <v>6.9408213924130588E-2</v>
      </c>
    </row>
    <row r="30" spans="1:20" ht="11.1" customHeight="1">
      <c r="A30" s="432"/>
      <c r="B30" s="432"/>
      <c r="C30" s="153" t="s">
        <v>7</v>
      </c>
      <c r="D30" s="306">
        <f>D24</f>
        <v>166359</v>
      </c>
      <c r="E30" s="129">
        <f t="shared" si="3"/>
        <v>7234.3</v>
      </c>
      <c r="F30" s="129">
        <f t="shared" si="3"/>
        <v>79766.100000000006</v>
      </c>
      <c r="G30" s="300">
        <f>E30/$E$32</f>
        <v>0.12168692735588332</v>
      </c>
      <c r="H30" s="300">
        <f t="shared" si="4"/>
        <v>8.5481499264772054E-2</v>
      </c>
      <c r="I30" s="306">
        <f t="shared" ref="I30:J30" si="7">I12+I18+I24</f>
        <v>6664.6</v>
      </c>
      <c r="J30" s="129">
        <f t="shared" si="7"/>
        <v>72863.5</v>
      </c>
      <c r="K30" s="300">
        <f>I30/$I$32</f>
        <v>0.12755142075739279</v>
      </c>
    </row>
    <row r="31" spans="1:20" ht="11.1" customHeight="1">
      <c r="A31" s="432"/>
      <c r="B31" s="432"/>
      <c r="C31" s="153" t="s">
        <v>90</v>
      </c>
      <c r="D31" s="306">
        <f>D25</f>
        <v>15</v>
      </c>
      <c r="E31" s="129">
        <f>E13+E19+E25</f>
        <v>1203.2349999999999</v>
      </c>
      <c r="F31" s="129">
        <f t="shared" si="3"/>
        <v>13260.4038</v>
      </c>
      <c r="G31" s="300">
        <f>E31/$E$32</f>
        <v>2.0239410867265148E-2</v>
      </c>
      <c r="H31" s="300">
        <f t="shared" si="4"/>
        <v>8.0612392793977979E-3</v>
      </c>
      <c r="I31" s="306">
        <f>I13+I19+I25</f>
        <v>1193.6130000000001</v>
      </c>
      <c r="J31" s="129">
        <f t="shared" ref="J31" si="8">J13+J19+J25</f>
        <v>13046.209129999999</v>
      </c>
      <c r="K31" s="300">
        <f>I31/$I$32</f>
        <v>2.2844136780075908E-2</v>
      </c>
    </row>
    <row r="32" spans="1:20" ht="11.1" customHeight="1">
      <c r="A32" s="433"/>
      <c r="B32" s="433"/>
      <c r="C32" s="311" t="s">
        <v>0</v>
      </c>
      <c r="D32" s="314">
        <f>SUM(D27:D31)</f>
        <v>179713</v>
      </c>
      <c r="E32" s="312">
        <f>SUM(E27:E31)</f>
        <v>59450.100000000006</v>
      </c>
      <c r="F32" s="312">
        <f>SUM(F27:F31)</f>
        <v>655337.14017999999</v>
      </c>
      <c r="G32" s="313">
        <f>SUM(G27:G31)</f>
        <v>0.99999999999999989</v>
      </c>
      <c r="H32" s="313">
        <f>(E32-I32)/I32</f>
        <v>0.1377944241468472</v>
      </c>
      <c r="I32" s="314">
        <f>SUM(I27:I31)</f>
        <v>52250.299999999996</v>
      </c>
      <c r="J32" s="312">
        <f>SUM(J27:J31)</f>
        <v>571117.61074000003</v>
      </c>
      <c r="K32" s="313">
        <f>SUM(K27:K31)</f>
        <v>1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41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80</v>
      </c>
      <c r="E39" s="301">
        <v>7951.9080000000004</v>
      </c>
      <c r="F39" s="301">
        <v>87364.469347999999</v>
      </c>
      <c r="G39" s="302">
        <f>E39/$E$44</f>
        <v>0.66703513961973704</v>
      </c>
      <c r="H39" s="302">
        <f>(E39-I39)/I39</f>
        <v>6.8137539880999104E-2</v>
      </c>
      <c r="I39" s="305">
        <v>7444.6480000000001</v>
      </c>
      <c r="J39" s="301">
        <v>81279.885590000005</v>
      </c>
      <c r="K39" s="302">
        <f>I39/$I$44</f>
        <v>0.67222118883581494</v>
      </c>
    </row>
    <row r="40" spans="1:11" ht="11.1" customHeight="1">
      <c r="A40" s="432"/>
      <c r="B40" s="432"/>
      <c r="C40" s="153" t="s">
        <v>5</v>
      </c>
      <c r="D40" s="306">
        <v>244</v>
      </c>
      <c r="E40" s="129">
        <v>1392.194</v>
      </c>
      <c r="F40" s="129">
        <v>15295.247439999999</v>
      </c>
      <c r="G40" s="300">
        <f t="shared" ref="G40" si="9">E40/$E$44</f>
        <v>0.11678232685385194</v>
      </c>
      <c r="H40" s="300">
        <f>(E40-I40)/I40</f>
        <v>0.1315991608475732</v>
      </c>
      <c r="I40" s="306">
        <v>1230.289</v>
      </c>
      <c r="J40" s="129">
        <v>13432.701779999999</v>
      </c>
      <c r="K40" s="300">
        <f t="shared" ref="K40:K43" si="10">I40/$I$44</f>
        <v>0.1110900521007341</v>
      </c>
    </row>
    <row r="41" spans="1:11" ht="11.1" customHeight="1">
      <c r="A41" s="432"/>
      <c r="B41" s="432"/>
      <c r="C41" s="153" t="s">
        <v>6</v>
      </c>
      <c r="D41" s="306">
        <v>11058</v>
      </c>
      <c r="E41" s="129">
        <v>791.07799999999997</v>
      </c>
      <c r="F41" s="129">
        <v>8690.9948000000004</v>
      </c>
      <c r="G41" s="300">
        <f>E41/$E$44</f>
        <v>6.6358517248954876E-2</v>
      </c>
      <c r="H41" s="300">
        <f t="shared" ref="H41:H43" si="11">(E41-I41)/I41</f>
        <v>5.1177042749852519E-2</v>
      </c>
      <c r="I41" s="306">
        <v>752.56399999999996</v>
      </c>
      <c r="J41" s="129">
        <v>8216.2311300000001</v>
      </c>
      <c r="K41" s="300">
        <f t="shared" si="10"/>
        <v>6.7953443434133648E-2</v>
      </c>
    </row>
    <row r="42" spans="1:11" ht="11.1" customHeight="1">
      <c r="A42" s="432"/>
      <c r="B42" s="432"/>
      <c r="C42" s="153" t="s">
        <v>7</v>
      </c>
      <c r="D42" s="306">
        <v>120132</v>
      </c>
      <c r="E42" s="129">
        <v>1565.3</v>
      </c>
      <c r="F42" s="129">
        <v>17197.400000000001</v>
      </c>
      <c r="G42" s="300">
        <f>E42/$E$44</f>
        <v>0.13130309154064335</v>
      </c>
      <c r="H42" s="300">
        <f t="shared" si="11"/>
        <v>9.3774019984627241E-2</v>
      </c>
      <c r="I42" s="306">
        <v>1431.1</v>
      </c>
      <c r="J42" s="129">
        <v>15624.2</v>
      </c>
      <c r="K42" s="300">
        <f t="shared" si="10"/>
        <v>0.12922246200800019</v>
      </c>
    </row>
    <row r="43" spans="1:11" ht="11.1" customHeight="1">
      <c r="A43" s="432"/>
      <c r="B43" s="432"/>
      <c r="C43" s="153" t="s">
        <v>90</v>
      </c>
      <c r="D43" s="306">
        <v>15</v>
      </c>
      <c r="E43" s="129">
        <v>220.79300000000001</v>
      </c>
      <c r="F43" s="129">
        <v>2425.7841600000002</v>
      </c>
      <c r="G43" s="300">
        <f>E43/$E$44</f>
        <v>1.8520924736812924E-2</v>
      </c>
      <c r="H43" s="300">
        <f t="shared" si="11"/>
        <v>2.1721525782164734E-2</v>
      </c>
      <c r="I43" s="306">
        <v>216.09899999999999</v>
      </c>
      <c r="J43" s="129">
        <v>2359.3487799999998</v>
      </c>
      <c r="K43" s="300">
        <f t="shared" si="10"/>
        <v>1.9512853621317054E-2</v>
      </c>
    </row>
    <row r="44" spans="1:11" ht="11.1" customHeight="1">
      <c r="A44" s="433"/>
      <c r="B44" s="433"/>
      <c r="C44" s="311" t="s">
        <v>0</v>
      </c>
      <c r="D44" s="314">
        <v>131529</v>
      </c>
      <c r="E44" s="312">
        <v>11921.272999999999</v>
      </c>
      <c r="F44" s="312">
        <v>130973.895748</v>
      </c>
      <c r="G44" s="313">
        <f>SUM(G39:G43)</f>
        <v>1.0000000000000002</v>
      </c>
      <c r="H44" s="313">
        <f>(E44-I44)/I44</f>
        <v>7.6442070665570933E-2</v>
      </c>
      <c r="I44" s="314">
        <v>11074.7</v>
      </c>
      <c r="J44" s="312">
        <v>120912.36728000001</v>
      </c>
      <c r="K44" s="313">
        <f>SUM(K39:K43)</f>
        <v>0.99999999999999989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81</v>
      </c>
      <c r="E45" s="301">
        <v>7943.0659999999998</v>
      </c>
      <c r="F45" s="301">
        <v>87517.081072000001</v>
      </c>
      <c r="G45" s="302">
        <f>E45/$E$50</f>
        <v>0.66511978546192363</v>
      </c>
      <c r="H45" s="302">
        <f>(E45-I45)/I45</f>
        <v>-0.11937731857222569</v>
      </c>
      <c r="I45" s="305">
        <v>9019.8289999999997</v>
      </c>
      <c r="J45" s="301">
        <v>98553.419810000007</v>
      </c>
      <c r="K45" s="302">
        <f>I45/$I$50</f>
        <v>0.71633131348427925</v>
      </c>
    </row>
    <row r="46" spans="1:11" ht="11.1" customHeight="1">
      <c r="A46" s="432"/>
      <c r="B46" s="432"/>
      <c r="C46" s="153" t="s">
        <v>5</v>
      </c>
      <c r="D46" s="306">
        <v>245</v>
      </c>
      <c r="E46" s="129">
        <v>1334.095</v>
      </c>
      <c r="F46" s="129">
        <v>14698.346680000001</v>
      </c>
      <c r="G46" s="300">
        <f t="shared" ref="G46:G49" si="12">E46/$E$50</f>
        <v>0.11171164638262165</v>
      </c>
      <c r="H46" s="300">
        <f>(E46-I46)/I46</f>
        <v>0.12646402453388914</v>
      </c>
      <c r="I46" s="306">
        <v>1184.3209999999999</v>
      </c>
      <c r="J46" s="129">
        <v>12939.905140000001</v>
      </c>
      <c r="K46" s="300">
        <f t="shared" ref="K46:K49" si="13">I46/$I$50</f>
        <v>9.4055687476671132E-2</v>
      </c>
    </row>
    <row r="47" spans="1:11" ht="11.1" customHeight="1">
      <c r="A47" s="432"/>
      <c r="B47" s="432"/>
      <c r="C47" s="153" t="s">
        <v>6</v>
      </c>
      <c r="D47" s="306">
        <v>11052</v>
      </c>
      <c r="E47" s="129">
        <v>844.74300000000005</v>
      </c>
      <c r="F47" s="129">
        <v>9307.4470399999991</v>
      </c>
      <c r="G47" s="300">
        <f t="shared" si="12"/>
        <v>7.0735315925923553E-2</v>
      </c>
      <c r="H47" s="300">
        <f t="shared" ref="H47:H49" si="14">(E47-I47)/I47</f>
        <v>9.3994281007661676E-2</v>
      </c>
      <c r="I47" s="306">
        <v>772.16399999999999</v>
      </c>
      <c r="J47" s="129">
        <v>8437.0532000000003</v>
      </c>
      <c r="K47" s="300">
        <f t="shared" si="13"/>
        <v>6.1323252618788564E-2</v>
      </c>
    </row>
    <row r="48" spans="1:11" ht="11.1" customHeight="1">
      <c r="A48" s="432"/>
      <c r="B48" s="432"/>
      <c r="C48" s="153" t="s">
        <v>7</v>
      </c>
      <c r="D48" s="306">
        <v>120032</v>
      </c>
      <c r="E48" s="129">
        <v>1637.3</v>
      </c>
      <c r="F48" s="129">
        <v>18038.900000000001</v>
      </c>
      <c r="G48" s="300">
        <f t="shared" si="12"/>
        <v>0.13710079014033216</v>
      </c>
      <c r="H48" s="300">
        <f t="shared" si="14"/>
        <v>0.14384518653066916</v>
      </c>
      <c r="I48" s="306">
        <v>1431.4</v>
      </c>
      <c r="J48" s="129">
        <v>15640.3</v>
      </c>
      <c r="K48" s="300">
        <f t="shared" si="13"/>
        <v>0.1136780577682124</v>
      </c>
    </row>
    <row r="49" spans="1:11" ht="11.1" customHeight="1">
      <c r="A49" s="432"/>
      <c r="B49" s="432"/>
      <c r="C49" s="153" t="s">
        <v>90</v>
      </c>
      <c r="D49" s="306">
        <v>15</v>
      </c>
      <c r="E49" s="129">
        <v>183.10499999999999</v>
      </c>
      <c r="F49" s="129">
        <v>2017.3765000000001</v>
      </c>
      <c r="G49" s="300">
        <f t="shared" si="12"/>
        <v>1.5332462089198999E-2</v>
      </c>
      <c r="H49" s="300">
        <f t="shared" si="14"/>
        <v>-4.7884078136379961E-3</v>
      </c>
      <c r="I49" s="306">
        <v>183.98599999999999</v>
      </c>
      <c r="J49" s="129">
        <v>2010.28691</v>
      </c>
      <c r="K49" s="300">
        <f t="shared" si="13"/>
        <v>1.4611688652048571E-2</v>
      </c>
    </row>
    <row r="50" spans="1:11" ht="11.1" customHeight="1">
      <c r="A50" s="433"/>
      <c r="B50" s="433"/>
      <c r="C50" s="311" t="s">
        <v>0</v>
      </c>
      <c r="D50" s="314">
        <v>131425</v>
      </c>
      <c r="E50" s="312">
        <v>11942.308999999999</v>
      </c>
      <c r="F50" s="312">
        <v>131579.15129200002</v>
      </c>
      <c r="G50" s="313">
        <f>SUM(G45:G49)</f>
        <v>1</v>
      </c>
      <c r="H50" s="313">
        <f t="shared" ref="H50" si="15">(E50-I50)/I50</f>
        <v>-5.1572940905517235E-2</v>
      </c>
      <c r="I50" s="314">
        <v>12591.7</v>
      </c>
      <c r="J50" s="312">
        <v>137580.96505999999</v>
      </c>
      <c r="K50" s="313">
        <f>SUM(K45:K49)</f>
        <v>0.99999999999999989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83</v>
      </c>
      <c r="E51" s="301">
        <v>8388.6239999999998</v>
      </c>
      <c r="F51" s="301">
        <v>92743.649913000001</v>
      </c>
      <c r="G51" s="302">
        <f>E51/$E$56</f>
        <v>0.59337456182817072</v>
      </c>
      <c r="H51" s="302">
        <f>(E51-I51)/I51</f>
        <v>-5.4547364408700533E-2</v>
      </c>
      <c r="I51" s="305">
        <v>8872.6010000000006</v>
      </c>
      <c r="J51" s="301">
        <v>97114.86735</v>
      </c>
      <c r="K51" s="302">
        <f>I51/$I$56</f>
        <v>0.61419084867783469</v>
      </c>
    </row>
    <row r="52" spans="1:11" ht="11.1" customHeight="1">
      <c r="A52" s="432"/>
      <c r="B52" s="432"/>
      <c r="C52" s="153" t="s">
        <v>5</v>
      </c>
      <c r="D52" s="306">
        <v>245</v>
      </c>
      <c r="E52" s="129">
        <v>1611.9490000000001</v>
      </c>
      <c r="F52" s="129">
        <v>17821.498899999999</v>
      </c>
      <c r="G52" s="300">
        <f t="shared" ref="G52:G55" si="16">E52/$E$56</f>
        <v>0.11402222004042117</v>
      </c>
      <c r="H52" s="300">
        <f t="shared" ref="H52:H55" si="17">(E52-I52)/I52</f>
        <v>9.9287486411913137E-2</v>
      </c>
      <c r="I52" s="306">
        <v>1466.3579999999999</v>
      </c>
      <c r="J52" s="129">
        <v>16049.763559999999</v>
      </c>
      <c r="K52" s="300">
        <f t="shared" ref="K52:K55" si="18">I52/$I$56</f>
        <v>0.10150616087498268</v>
      </c>
    </row>
    <row r="53" spans="1:11" ht="11.1" customHeight="1">
      <c r="A53" s="432"/>
      <c r="B53" s="432"/>
      <c r="C53" s="153" t="s">
        <v>6</v>
      </c>
      <c r="D53" s="306">
        <v>11039</v>
      </c>
      <c r="E53" s="129">
        <v>1369.5229999999999</v>
      </c>
      <c r="F53" s="129">
        <v>15141.112789999999</v>
      </c>
      <c r="G53" s="300">
        <f t="shared" si="16"/>
        <v>9.6874065405554211E-2</v>
      </c>
      <c r="H53" s="300">
        <f t="shared" si="17"/>
        <v>-4.7338051927725604E-2</v>
      </c>
      <c r="I53" s="306">
        <v>1437.575</v>
      </c>
      <c r="J53" s="129">
        <v>15735.192499999999</v>
      </c>
      <c r="K53" s="300">
        <f t="shared" si="18"/>
        <v>9.951370621625362E-2</v>
      </c>
    </row>
    <row r="54" spans="1:11" ht="11.1" customHeight="1">
      <c r="A54" s="432"/>
      <c r="B54" s="432"/>
      <c r="C54" s="153" t="s">
        <v>7</v>
      </c>
      <c r="D54" s="306">
        <v>119961</v>
      </c>
      <c r="E54" s="129">
        <v>2564.6</v>
      </c>
      <c r="F54" s="129">
        <v>28353.4</v>
      </c>
      <c r="G54" s="300">
        <f t="shared" si="16"/>
        <v>0.1814085839661578</v>
      </c>
      <c r="H54" s="300">
        <f t="shared" si="17"/>
        <v>4.656192613752292E-2</v>
      </c>
      <c r="I54" s="306">
        <v>2450.5</v>
      </c>
      <c r="J54" s="129">
        <v>26822.3</v>
      </c>
      <c r="K54" s="300">
        <f t="shared" si="18"/>
        <v>0.16963173196732659</v>
      </c>
    </row>
    <row r="55" spans="1:11" ht="11.1" customHeight="1">
      <c r="A55" s="432"/>
      <c r="B55" s="432"/>
      <c r="C55" s="153" t="s">
        <v>90</v>
      </c>
      <c r="D55" s="306">
        <v>15</v>
      </c>
      <c r="E55" s="129">
        <v>202.452</v>
      </c>
      <c r="F55" s="129">
        <v>2238.2743300000002</v>
      </c>
      <c r="G55" s="300">
        <f t="shared" si="16"/>
        <v>1.4320568759696086E-2</v>
      </c>
      <c r="H55" s="300">
        <f t="shared" si="17"/>
        <v>-7.541810144040631E-2</v>
      </c>
      <c r="I55" s="306">
        <v>218.96600000000001</v>
      </c>
      <c r="J55" s="129">
        <v>2396.6869000000002</v>
      </c>
      <c r="K55" s="300">
        <f t="shared" si="18"/>
        <v>1.5157552263602381E-2</v>
      </c>
    </row>
    <row r="56" spans="1:11" ht="11.1" customHeight="1">
      <c r="A56" s="433"/>
      <c r="B56" s="433"/>
      <c r="C56" s="311" t="s">
        <v>0</v>
      </c>
      <c r="D56" s="314">
        <v>131343</v>
      </c>
      <c r="E56" s="312">
        <v>14137.147999999999</v>
      </c>
      <c r="F56" s="312">
        <v>156297.935933</v>
      </c>
      <c r="G56" s="313">
        <f>SUM(G51:G55)</f>
        <v>1</v>
      </c>
      <c r="H56" s="313">
        <f t="shared" ref="H56" si="19">(E56-I56)/I56</f>
        <v>-2.1379759102866023E-2</v>
      </c>
      <c r="I56" s="314">
        <v>14446.000000000002</v>
      </c>
      <c r="J56" s="312">
        <v>158118.81031</v>
      </c>
      <c r="K56" s="313">
        <f>SUM(K51:K55)</f>
        <v>1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83</v>
      </c>
      <c r="E57" s="301">
        <f>E39+E45+E51</f>
        <v>24283.597999999998</v>
      </c>
      <c r="F57" s="301">
        <f>F39+F45+F51</f>
        <v>267625.20033299999</v>
      </c>
      <c r="G57" s="302">
        <f>E57/$E$62</f>
        <v>0.63902977653324033</v>
      </c>
      <c r="H57" s="302">
        <f>(E57-I57)/I57</f>
        <v>-4.1578590869870757E-2</v>
      </c>
      <c r="I57" s="305">
        <f>I39+I45+I51</f>
        <v>25337.078000000001</v>
      </c>
      <c r="J57" s="301">
        <f>J39+J45+J51</f>
        <v>276948.17275000003</v>
      </c>
      <c r="K57" s="302">
        <f>I57/$I$62</f>
        <v>0.66479880563806004</v>
      </c>
    </row>
    <row r="58" spans="1:11" ht="11.1" customHeight="1">
      <c r="A58" s="432"/>
      <c r="B58" s="432"/>
      <c r="C58" s="153" t="s">
        <v>5</v>
      </c>
      <c r="D58" s="306">
        <f>D52</f>
        <v>245</v>
      </c>
      <c r="E58" s="129">
        <f t="shared" ref="E58:F59" si="20">E40+E46+E52</f>
        <v>4338.2379999999994</v>
      </c>
      <c r="F58" s="129">
        <f t="shared" si="20"/>
        <v>47815.09302</v>
      </c>
      <c r="G58" s="300">
        <f t="shared" ref="G58:G61" si="21">E58/$E$62</f>
        <v>0.1141619647833081</v>
      </c>
      <c r="H58" s="300">
        <f t="shared" ref="H58:H61" si="22">(E58-I58)/I58</f>
        <v>0.11782369759297154</v>
      </c>
      <c r="I58" s="306">
        <f t="shared" ref="I58:J58" si="23">I40+I46+I52</f>
        <v>3880.9679999999998</v>
      </c>
      <c r="J58" s="129">
        <f t="shared" si="23"/>
        <v>42422.370479999998</v>
      </c>
      <c r="K58" s="300">
        <f t="shared" ref="K58:K61" si="24">I58/$I$62</f>
        <v>0.10182953579412474</v>
      </c>
    </row>
    <row r="59" spans="1:11" ht="11.1" customHeight="1">
      <c r="A59" s="432"/>
      <c r="B59" s="432"/>
      <c r="C59" s="153" t="s">
        <v>6</v>
      </c>
      <c r="D59" s="306">
        <f>D53</f>
        <v>11039</v>
      </c>
      <c r="E59" s="129">
        <f>E41+E47+E53</f>
        <v>3005.3440000000001</v>
      </c>
      <c r="F59" s="129">
        <f t="shared" si="20"/>
        <v>33139.554629999999</v>
      </c>
      <c r="G59" s="300">
        <f t="shared" si="21"/>
        <v>7.9086480707081158E-2</v>
      </c>
      <c r="H59" s="300">
        <f t="shared" si="22"/>
        <v>1.4529573780940089E-2</v>
      </c>
      <c r="I59" s="306">
        <f>I41+I47+I53</f>
        <v>2962.3029999999999</v>
      </c>
      <c r="J59" s="129">
        <f t="shared" ref="J59" si="25">J41+J47+J53</f>
        <v>32388.47683</v>
      </c>
      <c r="K59" s="300">
        <f t="shared" si="24"/>
        <v>7.772543843998278E-2</v>
      </c>
    </row>
    <row r="60" spans="1:11" ht="11.1" customHeight="1">
      <c r="A60" s="432"/>
      <c r="B60" s="432"/>
      <c r="C60" s="153" t="s">
        <v>7</v>
      </c>
      <c r="D60" s="306">
        <f>D54</f>
        <v>119961</v>
      </c>
      <c r="E60" s="129">
        <f t="shared" ref="E60:F61" si="26">E42+E48+E54</f>
        <v>5767.2</v>
      </c>
      <c r="F60" s="129">
        <f t="shared" si="26"/>
        <v>63589.700000000004</v>
      </c>
      <c r="G60" s="300">
        <f t="shared" si="21"/>
        <v>0.15176550555739324</v>
      </c>
      <c r="H60" s="300">
        <f t="shared" si="22"/>
        <v>8.5488424618859374E-2</v>
      </c>
      <c r="I60" s="306">
        <f t="shared" ref="I60:J60" si="27">I42+I48+I54</f>
        <v>5313</v>
      </c>
      <c r="J60" s="129">
        <f t="shared" si="27"/>
        <v>58086.8</v>
      </c>
      <c r="K60" s="300">
        <f t="shared" si="24"/>
        <v>0.13940344874633978</v>
      </c>
    </row>
    <row r="61" spans="1:11" ht="11.1" customHeight="1">
      <c r="A61" s="432"/>
      <c r="B61" s="432"/>
      <c r="C61" s="153" t="s">
        <v>90</v>
      </c>
      <c r="D61" s="306">
        <f>D55</f>
        <v>15</v>
      </c>
      <c r="E61" s="129">
        <f>E43+E49+E55</f>
        <v>606.35</v>
      </c>
      <c r="F61" s="129">
        <f t="shared" si="26"/>
        <v>6681.4349900000007</v>
      </c>
      <c r="G61" s="300">
        <f t="shared" si="21"/>
        <v>1.5956272418977218E-2</v>
      </c>
      <c r="H61" s="300">
        <f t="shared" si="22"/>
        <v>-2.0516887946227226E-2</v>
      </c>
      <c r="I61" s="306">
        <f>I43+I49+I55</f>
        <v>619.05099999999993</v>
      </c>
      <c r="J61" s="129">
        <f t="shared" ref="J61" si="28">J43+J49+J55</f>
        <v>6766.3225899999998</v>
      </c>
      <c r="K61" s="300">
        <f t="shared" si="24"/>
        <v>1.6242771381492636E-2</v>
      </c>
    </row>
    <row r="62" spans="1:11" ht="11.1" customHeight="1">
      <c r="A62" s="433"/>
      <c r="B62" s="433"/>
      <c r="C62" s="311" t="s">
        <v>0</v>
      </c>
      <c r="D62" s="314">
        <f>SUM(D57:D61)</f>
        <v>131343</v>
      </c>
      <c r="E62" s="312">
        <f>SUM(E57:E61)</f>
        <v>38000.729999999996</v>
      </c>
      <c r="F62" s="312">
        <f>SUM(F57:F61)</f>
        <v>418850.98297299998</v>
      </c>
      <c r="G62" s="313">
        <f>SUM(G57:G61)</f>
        <v>1</v>
      </c>
      <c r="H62" s="313">
        <f>(E62-I62)/I62</f>
        <v>-2.9300175271041846E-3</v>
      </c>
      <c r="I62" s="314">
        <f>SUM(I57:I61)</f>
        <v>38112.400000000001</v>
      </c>
      <c r="J62" s="312">
        <f>SUM(J57:J61)</f>
        <v>416612.14264999999</v>
      </c>
      <c r="K62" s="313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291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42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83</v>
      </c>
      <c r="E9" s="301">
        <v>9343.9339999999993</v>
      </c>
      <c r="F9" s="301">
        <v>102658.84361</v>
      </c>
      <c r="G9" s="302">
        <f>E9/$E$14</f>
        <v>0.7203989052079719</v>
      </c>
      <c r="H9" s="302">
        <f>(E9-I9)/I9</f>
        <v>0.1244057087578513</v>
      </c>
      <c r="I9" s="305">
        <v>8310.1090000000004</v>
      </c>
      <c r="J9" s="301">
        <v>90728.84375</v>
      </c>
      <c r="K9" s="302">
        <f>I9/$I$14</f>
        <v>0.70693046481557109</v>
      </c>
    </row>
    <row r="10" spans="1:16" ht="11.1" customHeight="1">
      <c r="A10" s="432"/>
      <c r="B10" s="432"/>
      <c r="C10" s="153" t="s">
        <v>5</v>
      </c>
      <c r="D10" s="306">
        <v>306</v>
      </c>
      <c r="E10" s="129">
        <v>1169.94</v>
      </c>
      <c r="F10" s="129">
        <v>12853.714739999999</v>
      </c>
      <c r="G10" s="300">
        <f>E10/$E$14</f>
        <v>9.0200069388227139E-2</v>
      </c>
      <c r="H10" s="300">
        <f>(E10-I10)/I10</f>
        <v>2.37979601748423E-2</v>
      </c>
      <c r="I10" s="306">
        <v>1142.7449999999999</v>
      </c>
      <c r="J10" s="129">
        <v>12476.8593</v>
      </c>
      <c r="K10" s="300">
        <f>I10/$I$14</f>
        <v>9.7211872192731724E-2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11594</v>
      </c>
      <c r="E11" s="129">
        <v>868.30499999999995</v>
      </c>
      <c r="F11" s="129">
        <v>9539.5790199999992</v>
      </c>
      <c r="G11" s="300">
        <f>E11/$E$14</f>
        <v>6.6944605065340571E-2</v>
      </c>
      <c r="H11" s="300">
        <f t="shared" ref="H11:H13" si="0">(E11-I11)/I11</f>
        <v>5.1582087238544128E-2</v>
      </c>
      <c r="I11" s="306">
        <v>825.71299999999997</v>
      </c>
      <c r="J11" s="129">
        <v>9014.8327499999996</v>
      </c>
      <c r="K11" s="300">
        <f>I11/$I$14</f>
        <v>7.0242360827548658E-2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142034</v>
      </c>
      <c r="E12" s="129">
        <v>1446.9</v>
      </c>
      <c r="F12" s="129">
        <v>15897.1</v>
      </c>
      <c r="G12" s="300">
        <f>E12/$E$14</f>
        <v>0.11155313981727767</v>
      </c>
      <c r="H12" s="300">
        <f t="shared" si="0"/>
        <v>9.3733464358606092E-2</v>
      </c>
      <c r="I12" s="306">
        <v>1322.9</v>
      </c>
      <c r="J12" s="129">
        <v>14442.9</v>
      </c>
      <c r="K12" s="300">
        <f>I12/$I$14</f>
        <v>0.11253743024363688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15</v>
      </c>
      <c r="E13" s="129">
        <v>141.42099999999999</v>
      </c>
      <c r="F13" s="129">
        <v>1553.7474099999999</v>
      </c>
      <c r="G13" s="300">
        <f>E13/$E$14</f>
        <v>1.0903280521182683E-2</v>
      </c>
      <c r="H13" s="300">
        <f t="shared" si="0"/>
        <v>-8.0086903917831645E-2</v>
      </c>
      <c r="I13" s="306">
        <v>153.733</v>
      </c>
      <c r="J13" s="129">
        <v>1678.4418599999999</v>
      </c>
      <c r="K13" s="300">
        <f>I13/$I$14</f>
        <v>1.3077871920511776E-2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154032</v>
      </c>
      <c r="E14" s="312">
        <v>12970.5</v>
      </c>
      <c r="F14" s="312">
        <v>142502.98478</v>
      </c>
      <c r="G14" s="313">
        <f>SUM(G9:G13)</f>
        <v>1</v>
      </c>
      <c r="H14" s="313">
        <f>(E14-I14)/I14</f>
        <v>0.10338403429971427</v>
      </c>
      <c r="I14" s="314">
        <v>11755.199999999999</v>
      </c>
      <c r="J14" s="312">
        <v>128341.87766</v>
      </c>
      <c r="K14" s="313">
        <f>SUM(K9:K13)</f>
        <v>1.0000000000000002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83</v>
      </c>
      <c r="E15" s="301">
        <v>7210.6660000000002</v>
      </c>
      <c r="F15" s="301">
        <v>79444.554199999999</v>
      </c>
      <c r="G15" s="302">
        <f>E15/$E$20</f>
        <v>0.65459669175056479</v>
      </c>
      <c r="H15" s="302">
        <f>(E15-I15)/I15</f>
        <v>-0.206797938833159</v>
      </c>
      <c r="I15" s="305">
        <v>9090.5789999999997</v>
      </c>
      <c r="J15" s="301">
        <v>99326.855339999995</v>
      </c>
      <c r="K15" s="302">
        <f>I15/$I$20</f>
        <v>0.72263877516951913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306</v>
      </c>
      <c r="E16" s="129">
        <v>1129.597</v>
      </c>
      <c r="F16" s="129">
        <v>12445.529039999999</v>
      </c>
      <c r="G16" s="300">
        <f>E16/$E$20</f>
        <v>0.10254676325478988</v>
      </c>
      <c r="H16" s="300">
        <f>(E16-I16)/I16</f>
        <v>-3.3132586839406848E-2</v>
      </c>
      <c r="I16" s="306">
        <v>1168.306</v>
      </c>
      <c r="J16" s="129">
        <v>12765.600769999999</v>
      </c>
      <c r="K16" s="300">
        <f>I16/$I$20</f>
        <v>9.2872326049110873E-2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11589</v>
      </c>
      <c r="E17" s="129">
        <v>1031.405</v>
      </c>
      <c r="F17" s="129">
        <v>11308.658670000001</v>
      </c>
      <c r="G17" s="300">
        <f>E17/$E$20</f>
        <v>9.3632724197042452E-2</v>
      </c>
      <c r="H17" s="300">
        <f t="shared" ref="H17:H20" si="1">(E17-I17)/I17</f>
        <v>0.21664390041356726</v>
      </c>
      <c r="I17" s="306">
        <v>847.74599999999998</v>
      </c>
      <c r="J17" s="129">
        <v>9262.3883600000008</v>
      </c>
      <c r="K17" s="300">
        <f>I17/$I$20</f>
        <v>6.7390001351383566E-2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141916</v>
      </c>
      <c r="E18" s="129">
        <v>1513.5</v>
      </c>
      <c r="F18" s="129">
        <v>16675</v>
      </c>
      <c r="G18" s="300">
        <f>E18/$E$20</f>
        <v>0.1373981395011889</v>
      </c>
      <c r="H18" s="300">
        <f t="shared" si="1"/>
        <v>0.14381801692865775</v>
      </c>
      <c r="I18" s="306">
        <v>1323.2</v>
      </c>
      <c r="J18" s="129">
        <v>14457.8</v>
      </c>
      <c r="K18" s="300">
        <f>I18/$I$20</f>
        <v>0.1051853382831069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15</v>
      </c>
      <c r="E19" s="129">
        <v>130.26499999999999</v>
      </c>
      <c r="F19" s="129">
        <v>1435.2047299999999</v>
      </c>
      <c r="G19" s="300">
        <f>E19/$E$20</f>
        <v>1.1825681296413856E-2</v>
      </c>
      <c r="H19" s="300">
        <f t="shared" si="1"/>
        <v>-0.13080757194616641</v>
      </c>
      <c r="I19" s="306">
        <v>149.869</v>
      </c>
      <c r="J19" s="129">
        <v>1637.5158100000001</v>
      </c>
      <c r="K19" s="300">
        <f>I19/$I$20</f>
        <v>1.1913559146879495E-2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153909</v>
      </c>
      <c r="E20" s="312">
        <v>11015.433000000001</v>
      </c>
      <c r="F20" s="312">
        <v>121308.94663999999</v>
      </c>
      <c r="G20" s="313">
        <f>SUM(G15:G19)</f>
        <v>0.99999999999999989</v>
      </c>
      <c r="H20" s="313">
        <f t="shared" si="1"/>
        <v>-0.1243485138755296</v>
      </c>
      <c r="I20" s="314">
        <v>12579.7</v>
      </c>
      <c r="J20" s="312">
        <v>137450.16028000001</v>
      </c>
      <c r="K20" s="313">
        <f>SUM(K15:K19)</f>
        <v>1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83</v>
      </c>
      <c r="E21" s="301">
        <v>9901.0319999999992</v>
      </c>
      <c r="F21" s="301">
        <v>109463.71933000001</v>
      </c>
      <c r="G21" s="302">
        <f>E21/$E$26</f>
        <v>0.64111737052721551</v>
      </c>
      <c r="H21" s="302">
        <f>(E21-I21)/I21</f>
        <v>-1.2542494893432071E-2</v>
      </c>
      <c r="I21" s="305">
        <v>10026.793</v>
      </c>
      <c r="J21" s="301">
        <v>109747.51432</v>
      </c>
      <c r="K21" s="302">
        <f>I21/$I$26</f>
        <v>0.64225321709721428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307</v>
      </c>
      <c r="E22" s="129">
        <v>1530.92</v>
      </c>
      <c r="F22" s="129">
        <v>16925.651949999999</v>
      </c>
      <c r="G22" s="300">
        <f>E22/$E$26</f>
        <v>9.9131020371161796E-2</v>
      </c>
      <c r="H22" s="300">
        <f t="shared" ref="H22:H26" si="2">(E22-I22)/I22</f>
        <v>-3.6853750773042294E-2</v>
      </c>
      <c r="I22" s="306">
        <v>1589.499</v>
      </c>
      <c r="J22" s="129">
        <v>17397.860349999999</v>
      </c>
      <c r="K22" s="300">
        <f>I22/$I$26</f>
        <v>0.10181329626759075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11576</v>
      </c>
      <c r="E23" s="129">
        <v>1502.9570000000001</v>
      </c>
      <c r="F23" s="129">
        <v>16616.859919999999</v>
      </c>
      <c r="G23" s="300">
        <f>E23/$E$26</f>
        <v>9.7320343965707046E-2</v>
      </c>
      <c r="H23" s="300">
        <f t="shared" si="2"/>
        <v>-4.6518901416242243E-2</v>
      </c>
      <c r="I23" s="306">
        <v>1576.2840000000001</v>
      </c>
      <c r="J23" s="129">
        <v>17253.292720000001</v>
      </c>
      <c r="K23" s="300">
        <f>I23/$I$26</f>
        <v>0.10096682658741089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141831</v>
      </c>
      <c r="E24" s="129">
        <v>2370.6999999999998</v>
      </c>
      <c r="F24" s="129">
        <v>26209.7</v>
      </c>
      <c r="G24" s="300">
        <f>E24/$E$26</f>
        <v>0.1535089423313519</v>
      </c>
      <c r="H24" s="300">
        <f t="shared" si="2"/>
        <v>4.6528053679424197E-2</v>
      </c>
      <c r="I24" s="306">
        <v>2265.3000000000002</v>
      </c>
      <c r="J24" s="129">
        <v>24794.3</v>
      </c>
      <c r="K24" s="300">
        <f>I24/$I$26</f>
        <v>0.14510085255478194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15</v>
      </c>
      <c r="E25" s="129">
        <v>137.791</v>
      </c>
      <c r="F25" s="129">
        <v>1523.38319</v>
      </c>
      <c r="G25" s="300">
        <f>E25/$E$26</f>
        <v>8.9223228045637627E-3</v>
      </c>
      <c r="H25" s="300">
        <f t="shared" si="2"/>
        <v>-0.10539266607801384</v>
      </c>
      <c r="I25" s="306">
        <v>154.024</v>
      </c>
      <c r="J25" s="129">
        <v>1685.86643</v>
      </c>
      <c r="K25" s="300">
        <f>I25/$I$26</f>
        <v>9.8658074930021329E-3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153812</v>
      </c>
      <c r="E26" s="312">
        <v>15443.4</v>
      </c>
      <c r="F26" s="312">
        <v>170739.31439000001</v>
      </c>
      <c r="G26" s="313">
        <f>SUM(G21:G25)</f>
        <v>1</v>
      </c>
      <c r="H26" s="313">
        <f t="shared" si="2"/>
        <v>-1.0793048892191213E-2</v>
      </c>
      <c r="I26" s="314">
        <v>15611.9</v>
      </c>
      <c r="J26" s="312">
        <v>170878.83382</v>
      </c>
      <c r="K26" s="313">
        <f>SUM(K21:K25)</f>
        <v>0.99999999999999989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83</v>
      </c>
      <c r="E27" s="301">
        <f>E9+E15+E21</f>
        <v>26455.631999999998</v>
      </c>
      <c r="F27" s="301">
        <f>F9+F15+F21</f>
        <v>291567.11713999999</v>
      </c>
      <c r="G27" s="302">
        <f>E27/$E$32</f>
        <v>0.67096321411270132</v>
      </c>
      <c r="H27" s="302">
        <f>(E27-I27)/I27</f>
        <v>-3.5433403454003011E-2</v>
      </c>
      <c r="I27" s="305">
        <f>I9+I15+I21</f>
        <v>27427.481</v>
      </c>
      <c r="J27" s="301">
        <f>J9+J15+J21</f>
        <v>299803.21341000003</v>
      </c>
      <c r="K27" s="302">
        <f>I27/$I$32</f>
        <v>0.68660020327034965</v>
      </c>
    </row>
    <row r="28" spans="1:20" ht="11.1" customHeight="1">
      <c r="A28" s="432"/>
      <c r="B28" s="432"/>
      <c r="C28" s="153" t="s">
        <v>5</v>
      </c>
      <c r="D28" s="306">
        <f>D22</f>
        <v>307</v>
      </c>
      <c r="E28" s="129">
        <f t="shared" ref="E28:F31" si="3">E10+E16+E22</f>
        <v>3830.4570000000003</v>
      </c>
      <c r="F28" s="129">
        <f t="shared" si="3"/>
        <v>42224.895729999997</v>
      </c>
      <c r="G28" s="300">
        <f>E28/$E$32</f>
        <v>9.7147395316070917E-2</v>
      </c>
      <c r="H28" s="300">
        <f t="shared" ref="H28:H31" si="4">(E28-I28)/I28</f>
        <v>-1.7970029867582737E-2</v>
      </c>
      <c r="I28" s="306">
        <f t="shared" ref="I28:J28" si="5">I10+I16+I22</f>
        <v>3900.55</v>
      </c>
      <c r="J28" s="129">
        <f t="shared" si="5"/>
        <v>42640.320420000004</v>
      </c>
      <c r="K28" s="300">
        <f>I28/$I$32</f>
        <v>9.7643616009292375E-2</v>
      </c>
    </row>
    <row r="29" spans="1:20" ht="11.1" customHeight="1">
      <c r="A29" s="432"/>
      <c r="B29" s="432"/>
      <c r="C29" s="153" t="s">
        <v>6</v>
      </c>
      <c r="D29" s="306">
        <f>D23</f>
        <v>11576</v>
      </c>
      <c r="E29" s="129">
        <f t="shared" si="3"/>
        <v>3402.6670000000004</v>
      </c>
      <c r="F29" s="129">
        <f t="shared" si="3"/>
        <v>37465.097609999997</v>
      </c>
      <c r="G29" s="300">
        <f>E29/$E$32</f>
        <v>8.6297858500421515E-2</v>
      </c>
      <c r="H29" s="300">
        <f t="shared" si="4"/>
        <v>4.7057259604836581E-2</v>
      </c>
      <c r="I29" s="306">
        <f t="shared" ref="I29:J29" si="6">I11+I17+I23</f>
        <v>3249.7429999999999</v>
      </c>
      <c r="J29" s="129">
        <f t="shared" si="6"/>
        <v>35530.513829999996</v>
      </c>
      <c r="K29" s="300">
        <f>I29/$I$32</f>
        <v>8.1351772857901017E-2</v>
      </c>
    </row>
    <row r="30" spans="1:20" ht="11.1" customHeight="1">
      <c r="A30" s="432"/>
      <c r="B30" s="432"/>
      <c r="C30" s="153" t="s">
        <v>7</v>
      </c>
      <c r="D30" s="306">
        <f>D24</f>
        <v>141831</v>
      </c>
      <c r="E30" s="129">
        <f t="shared" si="3"/>
        <v>5331.1</v>
      </c>
      <c r="F30" s="129">
        <f t="shared" si="3"/>
        <v>58781.8</v>
      </c>
      <c r="G30" s="300">
        <f>E30/$E$32</f>
        <v>0.13520644642910903</v>
      </c>
      <c r="H30" s="300">
        <f t="shared" si="4"/>
        <v>8.545424929755259E-2</v>
      </c>
      <c r="I30" s="306">
        <f t="shared" ref="I30:J30" si="7">I12+I18+I24</f>
        <v>4911.4000000000005</v>
      </c>
      <c r="J30" s="129">
        <f t="shared" si="7"/>
        <v>53695</v>
      </c>
      <c r="K30" s="300">
        <f>I30/$I$32</f>
        <v>0.12294852153363976</v>
      </c>
    </row>
    <row r="31" spans="1:20" ht="11.1" customHeight="1">
      <c r="A31" s="432"/>
      <c r="B31" s="432"/>
      <c r="C31" s="153" t="s">
        <v>90</v>
      </c>
      <c r="D31" s="306">
        <f>D25</f>
        <v>15</v>
      </c>
      <c r="E31" s="129">
        <f>E13+E19+E25</f>
        <v>409.47699999999998</v>
      </c>
      <c r="F31" s="129">
        <f t="shared" si="3"/>
        <v>4512.3353299999999</v>
      </c>
      <c r="G31" s="300">
        <f>E31/$E$32</f>
        <v>1.0385085641697262E-2</v>
      </c>
      <c r="H31" s="300">
        <f t="shared" si="4"/>
        <v>-0.10521473867306491</v>
      </c>
      <c r="I31" s="306">
        <f>I13+I19+I25</f>
        <v>457.62599999999998</v>
      </c>
      <c r="J31" s="129">
        <f t="shared" ref="J31" si="8">J13+J19+J25</f>
        <v>5001.8240999999998</v>
      </c>
      <c r="K31" s="300">
        <f>I31/$I$32</f>
        <v>1.1455886328817328E-2</v>
      </c>
    </row>
    <row r="32" spans="1:20" ht="11.1" customHeight="1">
      <c r="A32" s="433"/>
      <c r="B32" s="433"/>
      <c r="C32" s="311" t="s">
        <v>0</v>
      </c>
      <c r="D32" s="314">
        <f>SUM(D27:D31)</f>
        <v>153812</v>
      </c>
      <c r="E32" s="312">
        <f>SUM(E27:E31)</f>
        <v>39429.332999999999</v>
      </c>
      <c r="F32" s="312">
        <f>SUM(F27:F31)</f>
        <v>434551.24580999993</v>
      </c>
      <c r="G32" s="313">
        <f>SUM(G27:G31)</f>
        <v>1</v>
      </c>
      <c r="H32" s="313">
        <f>(E32-I32)/I32</f>
        <v>-1.2953903691910166E-2</v>
      </c>
      <c r="I32" s="314">
        <f>SUM(I27:I31)</f>
        <v>39946.799999999996</v>
      </c>
      <c r="J32" s="312">
        <f>SUM(J27:J31)</f>
        <v>436670.87176000007</v>
      </c>
      <c r="K32" s="313">
        <f>SUM(K27:K31)</f>
        <v>1.0000000000000002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87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113</v>
      </c>
      <c r="E39" s="301">
        <v>5308.232067377</v>
      </c>
      <c r="F39" s="301">
        <v>58188.86232</v>
      </c>
      <c r="G39" s="302">
        <f>E39/$E$44</f>
        <v>0.34782338031251081</v>
      </c>
      <c r="H39" s="302">
        <f>(E39-I39)/I39</f>
        <v>-0.25137617238240645</v>
      </c>
      <c r="I39" s="305">
        <v>7090.6533716270005</v>
      </c>
      <c r="J39" s="301">
        <v>77370.490310000008</v>
      </c>
      <c r="K39" s="302">
        <f>I39/$I$44</f>
        <v>0.40326094546854629</v>
      </c>
    </row>
    <row r="40" spans="1:11" ht="11.1" customHeight="1">
      <c r="A40" s="432"/>
      <c r="B40" s="432"/>
      <c r="C40" s="153" t="s">
        <v>5</v>
      </c>
      <c r="D40" s="306">
        <v>1238</v>
      </c>
      <c r="E40" s="129">
        <v>2597.8997407850002</v>
      </c>
      <c r="F40" s="129">
        <v>28478.18792</v>
      </c>
      <c r="G40" s="300">
        <f t="shared" ref="G40" si="9">E40/$E$44</f>
        <v>0.17022810195247223</v>
      </c>
      <c r="H40" s="300">
        <f>(E40-I40)/I40</f>
        <v>-8.0252362489120446E-2</v>
      </c>
      <c r="I40" s="306">
        <v>2824.5788679769998</v>
      </c>
      <c r="J40" s="129">
        <v>30820.790270000001</v>
      </c>
      <c r="K40" s="300">
        <f t="shared" ref="K40:K43" si="10">I40/$I$44</f>
        <v>0.16063996999327579</v>
      </c>
    </row>
    <row r="41" spans="1:11" ht="11.1" customHeight="1">
      <c r="A41" s="432"/>
      <c r="B41" s="432"/>
      <c r="C41" s="153" t="s">
        <v>6</v>
      </c>
      <c r="D41" s="306">
        <v>35220</v>
      </c>
      <c r="E41" s="129">
        <v>2814.9499681520001</v>
      </c>
      <c r="F41" s="129">
        <v>30857.493428206999</v>
      </c>
      <c r="G41" s="300">
        <f>E41/$E$44</f>
        <v>0.18445037837560796</v>
      </c>
      <c r="H41" s="300">
        <f t="shared" ref="H41:H43" si="11">(E41-I41)/I41</f>
        <v>0.10896767398890073</v>
      </c>
      <c r="I41" s="306">
        <v>2538.3516888519998</v>
      </c>
      <c r="J41" s="129">
        <v>27697.582078718999</v>
      </c>
      <c r="K41" s="300">
        <f t="shared" si="10"/>
        <v>0.14436160510597099</v>
      </c>
    </row>
    <row r="42" spans="1:11" ht="11.1" customHeight="1">
      <c r="A42" s="432"/>
      <c r="B42" s="432"/>
      <c r="C42" s="153" t="s">
        <v>7</v>
      </c>
      <c r="D42" s="306">
        <v>334287</v>
      </c>
      <c r="E42" s="129">
        <v>3691.2773056340002</v>
      </c>
      <c r="F42" s="129">
        <v>40463.797399235002</v>
      </c>
      <c r="G42" s="300">
        <f>E42/$E$44</f>
        <v>0.24187197052047976</v>
      </c>
      <c r="H42" s="300">
        <f t="shared" si="11"/>
        <v>-7.0713891240379564E-2</v>
      </c>
      <c r="I42" s="306">
        <v>3972.1645151470002</v>
      </c>
      <c r="J42" s="129">
        <v>43342.832741284998</v>
      </c>
      <c r="K42" s="300">
        <f t="shared" si="10"/>
        <v>0.22590567243695914</v>
      </c>
    </row>
    <row r="43" spans="1:11" ht="11.1" customHeight="1">
      <c r="A43" s="432"/>
      <c r="B43" s="432"/>
      <c r="C43" s="153" t="s">
        <v>90</v>
      </c>
      <c r="D43" s="306">
        <v>32</v>
      </c>
      <c r="E43" s="129">
        <v>848.92686900700005</v>
      </c>
      <c r="F43" s="129">
        <v>9305.9399200000007</v>
      </c>
      <c r="G43" s="300">
        <f>E43/$E$44</f>
        <v>5.5626168838929131E-2</v>
      </c>
      <c r="H43" s="300">
        <f t="shared" si="11"/>
        <v>-0.26661096560758157</v>
      </c>
      <c r="I43" s="306">
        <v>1157.539626578</v>
      </c>
      <c r="J43" s="129">
        <v>12630.656720000001</v>
      </c>
      <c r="K43" s="300">
        <f t="shared" si="10"/>
        <v>6.5831806995247877E-2</v>
      </c>
    </row>
    <row r="44" spans="1:11" ht="11.1" customHeight="1">
      <c r="A44" s="433"/>
      <c r="B44" s="433"/>
      <c r="C44" s="311" t="s">
        <v>0</v>
      </c>
      <c r="D44" s="314">
        <v>370890</v>
      </c>
      <c r="E44" s="312">
        <v>15261.285950955002</v>
      </c>
      <c r="F44" s="312">
        <v>167294.28098744201</v>
      </c>
      <c r="G44" s="313">
        <f>SUM(G39:G43)</f>
        <v>0.99999999999999989</v>
      </c>
      <c r="H44" s="313">
        <f>(E44-I44)/I44</f>
        <v>-0.13205733250562021</v>
      </c>
      <c r="I44" s="314">
        <v>17583.288070180999</v>
      </c>
      <c r="J44" s="312">
        <v>191862.35212000401</v>
      </c>
      <c r="K44" s="313">
        <f>SUM(K39:K43)</f>
        <v>1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113</v>
      </c>
      <c r="E45" s="301">
        <v>4997.4754446059997</v>
      </c>
      <c r="F45" s="301">
        <v>55134.025650000003</v>
      </c>
      <c r="G45" s="302">
        <f>E45/$E$50</f>
        <v>0.32810502565974103</v>
      </c>
      <c r="H45" s="302">
        <f>(E45-I45)/I45</f>
        <v>-7.2453236870371099E-2</v>
      </c>
      <c r="I45" s="305">
        <v>5387.8420401620006</v>
      </c>
      <c r="J45" s="301">
        <v>58857.299480000001</v>
      </c>
      <c r="K45" s="302">
        <f>I45/$I$50</f>
        <v>0.34301733687558045</v>
      </c>
    </row>
    <row r="46" spans="1:11" ht="11.1" customHeight="1">
      <c r="A46" s="432"/>
      <c r="B46" s="432"/>
      <c r="C46" s="153" t="s">
        <v>5</v>
      </c>
      <c r="D46" s="306">
        <v>1241</v>
      </c>
      <c r="E46" s="129">
        <v>2658.5875592870002</v>
      </c>
      <c r="F46" s="129">
        <v>29330.536250000001</v>
      </c>
      <c r="G46" s="300">
        <f t="shared" ref="G46:G49" si="12">E46/$E$50</f>
        <v>0.17454731874671595</v>
      </c>
      <c r="H46" s="300">
        <f>(E46-I46)/I46</f>
        <v>-5.0252173800293343E-2</v>
      </c>
      <c r="I46" s="306">
        <v>2799.2562719779999</v>
      </c>
      <c r="J46" s="129">
        <v>30579.350310000002</v>
      </c>
      <c r="K46" s="300">
        <f t="shared" ref="K46:K49" si="13">I46/$I$50</f>
        <v>0.17821484454976488</v>
      </c>
    </row>
    <row r="47" spans="1:11" ht="11.1" customHeight="1">
      <c r="A47" s="432"/>
      <c r="B47" s="432"/>
      <c r="C47" s="153" t="s">
        <v>6</v>
      </c>
      <c r="D47" s="306">
        <v>35108</v>
      </c>
      <c r="E47" s="129">
        <v>2898.0018424370001</v>
      </c>
      <c r="F47" s="129">
        <v>31971.844521441999</v>
      </c>
      <c r="G47" s="300">
        <f t="shared" si="12"/>
        <v>0.19026586111614871</v>
      </c>
      <c r="H47" s="300">
        <f t="shared" ref="H47:H49" si="14">(E47-I47)/I47</f>
        <v>0.17423561992623626</v>
      </c>
      <c r="I47" s="306">
        <v>2467.9900637139999</v>
      </c>
      <c r="J47" s="129">
        <v>26960.565731471001</v>
      </c>
      <c r="K47" s="300">
        <f t="shared" si="13"/>
        <v>0.15712475844319965</v>
      </c>
    </row>
    <row r="48" spans="1:11" ht="11.1" customHeight="1">
      <c r="A48" s="432"/>
      <c r="B48" s="432"/>
      <c r="C48" s="153" t="s">
        <v>7</v>
      </c>
      <c r="D48" s="306">
        <v>333935</v>
      </c>
      <c r="E48" s="129">
        <v>3818.666124631</v>
      </c>
      <c r="F48" s="129">
        <v>42128.958590775997</v>
      </c>
      <c r="G48" s="300">
        <f t="shared" si="12"/>
        <v>0.25071129627267602</v>
      </c>
      <c r="H48" s="300">
        <f t="shared" si="14"/>
        <v>-1.8053104257048678E-2</v>
      </c>
      <c r="I48" s="306">
        <v>3888.8723424720001</v>
      </c>
      <c r="J48" s="129">
        <v>42482.423228535998</v>
      </c>
      <c r="K48" s="300">
        <f t="shared" si="13"/>
        <v>0.24758532719042683</v>
      </c>
    </row>
    <row r="49" spans="1:11" ht="11.1" customHeight="1">
      <c r="A49" s="432"/>
      <c r="B49" s="432"/>
      <c r="C49" s="153" t="s">
        <v>90</v>
      </c>
      <c r="D49" s="306">
        <v>32</v>
      </c>
      <c r="E49" s="129">
        <v>858.59757866200005</v>
      </c>
      <c r="F49" s="129">
        <v>9472.3708900000001</v>
      </c>
      <c r="G49" s="300">
        <f t="shared" si="12"/>
        <v>5.6370498204718449E-2</v>
      </c>
      <c r="H49" s="300">
        <f t="shared" si="14"/>
        <v>-0.26189106556039177</v>
      </c>
      <c r="I49" s="306">
        <v>1163.2396501390001</v>
      </c>
      <c r="J49" s="129">
        <v>12707.344129999999</v>
      </c>
      <c r="K49" s="300">
        <f t="shared" si="13"/>
        <v>7.4057732941028159E-2</v>
      </c>
    </row>
    <row r="50" spans="1:11" ht="11.1" customHeight="1">
      <c r="A50" s="433"/>
      <c r="B50" s="433"/>
      <c r="C50" s="311" t="s">
        <v>0</v>
      </c>
      <c r="D50" s="314">
        <v>370429</v>
      </c>
      <c r="E50" s="312">
        <v>15231.328549622998</v>
      </c>
      <c r="F50" s="312">
        <v>168037.73590221797</v>
      </c>
      <c r="G50" s="313">
        <f>SUM(G45:G49)</f>
        <v>1.0000000000000002</v>
      </c>
      <c r="H50" s="313">
        <f t="shared" ref="H50" si="15">(E50-I50)/I50</f>
        <v>-3.0296412325483534E-2</v>
      </c>
      <c r="I50" s="314">
        <v>15707.200368465001</v>
      </c>
      <c r="J50" s="312">
        <v>171586.98288000701</v>
      </c>
      <c r="K50" s="313">
        <f>SUM(K45:K49)</f>
        <v>0.99999999999999989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113</v>
      </c>
      <c r="E51" s="301">
        <v>5245.6907278839999</v>
      </c>
      <c r="F51" s="301">
        <v>58080.067210000001</v>
      </c>
      <c r="G51" s="302">
        <f>E51/$E$56</f>
        <v>0.25110657162929045</v>
      </c>
      <c r="H51" s="302">
        <f>(E51-I51)/I51</f>
        <v>-0.26705625630076218</v>
      </c>
      <c r="I51" s="305">
        <v>7157.0168556300005</v>
      </c>
      <c r="J51" s="301">
        <v>78235.518939999994</v>
      </c>
      <c r="K51" s="302">
        <f>I51/$I$56</f>
        <v>0.29846578060568146</v>
      </c>
    </row>
    <row r="52" spans="1:11" ht="11.1" customHeight="1">
      <c r="A52" s="432"/>
      <c r="B52" s="432"/>
      <c r="C52" s="153" t="s">
        <v>5</v>
      </c>
      <c r="D52" s="306">
        <v>1240</v>
      </c>
      <c r="E52" s="129">
        <v>4131.8136218999998</v>
      </c>
      <c r="F52" s="129">
        <v>45747.26672</v>
      </c>
      <c r="G52" s="300">
        <f t="shared" ref="G52:G55" si="16">E52/$E$56</f>
        <v>0.19778626057602638</v>
      </c>
      <c r="H52" s="300">
        <f t="shared" ref="H52:H55" si="17">(E52-I52)/I52</f>
        <v>-6.2645839575574194E-2</v>
      </c>
      <c r="I52" s="306">
        <v>4407.9535743770002</v>
      </c>
      <c r="J52" s="129">
        <v>48184.577729999997</v>
      </c>
      <c r="K52" s="300">
        <f t="shared" ref="K52:K55" si="18">I52/$I$56</f>
        <v>0.18382285957802549</v>
      </c>
    </row>
    <row r="53" spans="1:11" ht="11.1" customHeight="1">
      <c r="A53" s="432"/>
      <c r="B53" s="432"/>
      <c r="C53" s="153" t="s">
        <v>6</v>
      </c>
      <c r="D53" s="306">
        <v>35196</v>
      </c>
      <c r="E53" s="129">
        <v>4760.2894325690004</v>
      </c>
      <c r="F53" s="129">
        <v>52705.724474570998</v>
      </c>
      <c r="G53" s="300">
        <f t="shared" si="16"/>
        <v>0.22787084130247931</v>
      </c>
      <c r="H53" s="300">
        <f t="shared" si="17"/>
        <v>1.105315981614722E-3</v>
      </c>
      <c r="I53" s="306">
        <v>4755.0336179180003</v>
      </c>
      <c r="J53" s="129">
        <v>51978.607103121001</v>
      </c>
      <c r="K53" s="300">
        <f t="shared" si="18"/>
        <v>0.19829697892380141</v>
      </c>
    </row>
    <row r="54" spans="1:11" ht="11.1" customHeight="1">
      <c r="A54" s="432"/>
      <c r="B54" s="432"/>
      <c r="C54" s="153" t="s">
        <v>7</v>
      </c>
      <c r="D54" s="306">
        <v>333386</v>
      </c>
      <c r="E54" s="129">
        <v>5917.644474664</v>
      </c>
      <c r="F54" s="129">
        <v>65519.910845382001</v>
      </c>
      <c r="G54" s="300">
        <f t="shared" si="16"/>
        <v>0.28327240267046683</v>
      </c>
      <c r="H54" s="300">
        <f t="shared" si="17"/>
        <v>-8.8320998456028629E-2</v>
      </c>
      <c r="I54" s="306">
        <v>6490.9298828230003</v>
      </c>
      <c r="J54" s="129">
        <v>70954.176399888995</v>
      </c>
      <c r="K54" s="300">
        <f t="shared" si="18"/>
        <v>0.27068826208080482</v>
      </c>
    </row>
    <row r="55" spans="1:11" ht="11.1" customHeight="1">
      <c r="A55" s="432"/>
      <c r="B55" s="432"/>
      <c r="C55" s="153" t="s">
        <v>90</v>
      </c>
      <c r="D55" s="306">
        <v>32</v>
      </c>
      <c r="E55" s="129">
        <v>834.85821689700003</v>
      </c>
      <c r="F55" s="129">
        <v>9243.5150799999992</v>
      </c>
      <c r="G55" s="300">
        <f t="shared" si="16"/>
        <v>3.9963923821736989E-2</v>
      </c>
      <c r="H55" s="300">
        <f t="shared" si="17"/>
        <v>-0.28548160810680173</v>
      </c>
      <c r="I55" s="306">
        <v>1168.4208921269999</v>
      </c>
      <c r="J55" s="129">
        <v>12772.336719999999</v>
      </c>
      <c r="K55" s="300">
        <f t="shared" si="18"/>
        <v>4.8726118811686696E-2</v>
      </c>
    </row>
    <row r="56" spans="1:11" ht="11.1" customHeight="1">
      <c r="A56" s="433"/>
      <c r="B56" s="433"/>
      <c r="C56" s="311" t="s">
        <v>0</v>
      </c>
      <c r="D56" s="314">
        <v>369967</v>
      </c>
      <c r="E56" s="312">
        <v>20890.296473914001</v>
      </c>
      <c r="F56" s="312">
        <v>231296.484329953</v>
      </c>
      <c r="G56" s="313">
        <f>SUM(G51:G55)</f>
        <v>1</v>
      </c>
      <c r="H56" s="313">
        <f t="shared" ref="H56" si="19">(E56-I56)/I56</f>
        <v>-0.12882157888644316</v>
      </c>
      <c r="I56" s="314">
        <v>23979.354822875004</v>
      </c>
      <c r="J56" s="312">
        <v>262125.21689300999</v>
      </c>
      <c r="K56" s="313">
        <f>SUM(K51:K55)</f>
        <v>0.99999999999999989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113</v>
      </c>
      <c r="E57" s="301">
        <f>E39+E45+E51</f>
        <v>15551.398239867001</v>
      </c>
      <c r="F57" s="301">
        <f>F39+F45+F51</f>
        <v>171402.95518000002</v>
      </c>
      <c r="G57" s="302">
        <f>E57/$E$62</f>
        <v>0.30265701076350415</v>
      </c>
      <c r="H57" s="302">
        <f>(E57-I57)/I57</f>
        <v>-0.20799630648438586</v>
      </c>
      <c r="I57" s="305">
        <f>I39+I45+I51</f>
        <v>19635.512267419002</v>
      </c>
      <c r="J57" s="301">
        <f>J39+J45+J51</f>
        <v>214463.30872999999</v>
      </c>
      <c r="K57" s="302">
        <f>I57/$I$62</f>
        <v>0.34285954263492624</v>
      </c>
    </row>
    <row r="58" spans="1:11" ht="11.1" customHeight="1">
      <c r="A58" s="432"/>
      <c r="B58" s="432"/>
      <c r="C58" s="153" t="s">
        <v>5</v>
      </c>
      <c r="D58" s="306">
        <f>D52</f>
        <v>1240</v>
      </c>
      <c r="E58" s="129">
        <f t="shared" ref="E58:F59" si="20">E40+E46+E52</f>
        <v>9388.3009219720007</v>
      </c>
      <c r="F58" s="129">
        <f t="shared" si="20"/>
        <v>103555.99089</v>
      </c>
      <c r="G58" s="300">
        <f t="shared" ref="G58:G61" si="21">E58/$E$62</f>
        <v>0.18271251557998788</v>
      </c>
      <c r="H58" s="300">
        <f t="shared" ref="H58:H61" si="22">(E58-I58)/I58</f>
        <v>-6.414487093818827E-2</v>
      </c>
      <c r="I58" s="306">
        <f t="shared" ref="I58:J58" si="23">I40+I46+I52</f>
        <v>10031.788714332</v>
      </c>
      <c r="J58" s="129">
        <f t="shared" si="23"/>
        <v>109584.71831</v>
      </c>
      <c r="K58" s="300">
        <f t="shared" ref="K58:K61" si="24">I58/$I$62</f>
        <v>0.1751670363147694</v>
      </c>
    </row>
    <row r="59" spans="1:11" ht="11.1" customHeight="1">
      <c r="A59" s="432"/>
      <c r="B59" s="432"/>
      <c r="C59" s="153" t="s">
        <v>6</v>
      </c>
      <c r="D59" s="306">
        <f>D53</f>
        <v>35196</v>
      </c>
      <c r="E59" s="129">
        <f>E41+E47+E53</f>
        <v>10473.241243158001</v>
      </c>
      <c r="F59" s="129">
        <f t="shared" si="20"/>
        <v>115535.06242422</v>
      </c>
      <c r="G59" s="300">
        <f t="shared" si="21"/>
        <v>0.20382732399799669</v>
      </c>
      <c r="H59" s="300">
        <f t="shared" si="22"/>
        <v>7.2926800338660142E-2</v>
      </c>
      <c r="I59" s="306">
        <f>I41+I47+I53</f>
        <v>9761.3753704840001</v>
      </c>
      <c r="J59" s="129">
        <f t="shared" ref="J59" si="25">J41+J47+J53</f>
        <v>106636.754913311</v>
      </c>
      <c r="K59" s="300">
        <f t="shared" si="24"/>
        <v>0.17044529571888256</v>
      </c>
    </row>
    <row r="60" spans="1:11" ht="11.1" customHeight="1">
      <c r="A60" s="432"/>
      <c r="B60" s="432"/>
      <c r="C60" s="153" t="s">
        <v>7</v>
      </c>
      <c r="D60" s="306">
        <f>D54</f>
        <v>333386</v>
      </c>
      <c r="E60" s="129">
        <f t="shared" ref="E60:F61" si="26">E42+E48+E54</f>
        <v>13427.587904929002</v>
      </c>
      <c r="F60" s="129">
        <f t="shared" si="26"/>
        <v>148112.666835393</v>
      </c>
      <c r="G60" s="300">
        <f t="shared" si="21"/>
        <v>0.26132400150693785</v>
      </c>
      <c r="H60" s="300">
        <f t="shared" si="22"/>
        <v>-6.4407816171160523E-2</v>
      </c>
      <c r="I60" s="306">
        <f t="shared" ref="I60:J60" si="27">I42+I48+I54</f>
        <v>14351.966740442</v>
      </c>
      <c r="J60" s="129">
        <f t="shared" si="27"/>
        <v>156779.43236971</v>
      </c>
      <c r="K60" s="300">
        <f t="shared" si="24"/>
        <v>0.25060251474592277</v>
      </c>
    </row>
    <row r="61" spans="1:11" ht="11.1" customHeight="1">
      <c r="A61" s="432"/>
      <c r="B61" s="432"/>
      <c r="C61" s="153" t="s">
        <v>90</v>
      </c>
      <c r="D61" s="306">
        <f>D55</f>
        <v>32</v>
      </c>
      <c r="E61" s="129">
        <f>E43+E49+E55</f>
        <v>2542.3826645660001</v>
      </c>
      <c r="F61" s="129">
        <f t="shared" si="26"/>
        <v>28021.82589</v>
      </c>
      <c r="G61" s="300">
        <f t="shared" si="21"/>
        <v>4.947914815157347E-2</v>
      </c>
      <c r="H61" s="300">
        <f t="shared" si="22"/>
        <v>-0.27135660279177631</v>
      </c>
      <c r="I61" s="306">
        <f>I43+I49+I55</f>
        <v>3489.2001688440005</v>
      </c>
      <c r="J61" s="129">
        <f t="shared" ref="J61" si="28">J43+J49+J55</f>
        <v>38110.337570000003</v>
      </c>
      <c r="K61" s="300">
        <f t="shared" si="24"/>
        <v>6.0925610585499147E-2</v>
      </c>
    </row>
    <row r="62" spans="1:11" ht="11.1" customHeight="1">
      <c r="A62" s="433"/>
      <c r="B62" s="433"/>
      <c r="C62" s="311" t="s">
        <v>0</v>
      </c>
      <c r="D62" s="314">
        <f>SUM(D57:D61)</f>
        <v>369967</v>
      </c>
      <c r="E62" s="312">
        <f>SUM(E57:E61)</f>
        <v>51382.910974492006</v>
      </c>
      <c r="F62" s="312">
        <f>SUM(F57:F61)</f>
        <v>566628.50121961301</v>
      </c>
      <c r="G62" s="313">
        <f>SUM(G57:G61)</f>
        <v>1</v>
      </c>
      <c r="H62" s="313">
        <f>(E62-I62)/I62</f>
        <v>-0.10279288281175301</v>
      </c>
      <c r="I62" s="314">
        <f>SUM(I57:I61)</f>
        <v>57269.843261520997</v>
      </c>
      <c r="J62" s="312">
        <f>SUM(J57:J61)</f>
        <v>625574.55189302098</v>
      </c>
      <c r="K62" s="313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292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43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185</v>
      </c>
      <c r="E9" s="301">
        <v>28115.858373043</v>
      </c>
      <c r="F9" s="301">
        <v>308872.667686</v>
      </c>
      <c r="G9" s="302">
        <f>E9/$E$14</f>
        <v>0.75379225188274046</v>
      </c>
      <c r="H9" s="302">
        <f>(E9-I9)/I9</f>
        <v>-9.2048536152012111E-2</v>
      </c>
      <c r="I9" s="305">
        <v>30966.256999999998</v>
      </c>
      <c r="J9" s="301">
        <v>338084.23094699997</v>
      </c>
      <c r="K9" s="302">
        <f>I9/$I$14</f>
        <v>0.80360117567801836</v>
      </c>
    </row>
    <row r="10" spans="1:16" ht="11.1" customHeight="1">
      <c r="A10" s="432"/>
      <c r="B10" s="432"/>
      <c r="C10" s="153" t="s">
        <v>5</v>
      </c>
      <c r="D10" s="306">
        <v>650</v>
      </c>
      <c r="E10" s="129">
        <v>2358.015953786</v>
      </c>
      <c r="F10" s="129">
        <v>25900.50375</v>
      </c>
      <c r="G10" s="300">
        <f>E10/$E$14</f>
        <v>6.3218918383938422E-2</v>
      </c>
      <c r="H10" s="300">
        <f>(E10-I10)/I10</f>
        <v>0.17959777578089042</v>
      </c>
      <c r="I10" s="306">
        <v>1999</v>
      </c>
      <c r="J10" s="129">
        <v>21825.477800000001</v>
      </c>
      <c r="K10" s="300">
        <f>I10/$I$14</f>
        <v>5.1875780472285006E-2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21035</v>
      </c>
      <c r="E11" s="129">
        <v>1756.670337216</v>
      </c>
      <c r="F11" s="129">
        <v>19267.283782375001</v>
      </c>
      <c r="G11" s="300">
        <f>E11/$E$14</f>
        <v>4.7096712173484545E-2</v>
      </c>
      <c r="H11" s="300">
        <f t="shared" ref="H11:H13" si="0">(E11-I11)/I11</f>
        <v>0.21651638257444333</v>
      </c>
      <c r="I11" s="306">
        <v>1444.0170000000001</v>
      </c>
      <c r="J11" s="129">
        <v>15753.629000000001</v>
      </c>
      <c r="K11" s="300">
        <f>I11/$I$14</f>
        <v>3.7473491190719146E-2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253818</v>
      </c>
      <c r="E12" s="129">
        <v>3951.699024001</v>
      </c>
      <c r="F12" s="129">
        <v>43406.448149186996</v>
      </c>
      <c r="G12" s="300">
        <f>E12/$E$14</f>
        <v>0.10594590663184324</v>
      </c>
      <c r="H12" s="300">
        <f t="shared" si="0"/>
        <v>0.21377861105169402</v>
      </c>
      <c r="I12" s="306">
        <v>3255.7</v>
      </c>
      <c r="J12" s="129">
        <v>35545.599999999999</v>
      </c>
      <c r="K12" s="300">
        <f>I12/$I$14</f>
        <v>8.4488233358488388E-2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44</v>
      </c>
      <c r="E13" s="129">
        <v>1116.970124272</v>
      </c>
      <c r="F13" s="129">
        <v>12264.988949999999</v>
      </c>
      <c r="G13" s="300">
        <f>E13/$E$14</f>
        <v>2.9946210927993412E-2</v>
      </c>
      <c r="H13" s="300">
        <f t="shared" si="0"/>
        <v>0.28478043616069282</v>
      </c>
      <c r="I13" s="306">
        <v>869.38599999999997</v>
      </c>
      <c r="J13" s="129">
        <v>9491.8989099999999</v>
      </c>
      <c r="K13" s="300">
        <f>I13/$I$14</f>
        <v>2.2561319300489227E-2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275732</v>
      </c>
      <c r="E14" s="312">
        <v>37299.213812317998</v>
      </c>
      <c r="F14" s="312">
        <v>409711.89231756201</v>
      </c>
      <c r="G14" s="313">
        <f>SUM(G9:G13)</f>
        <v>1</v>
      </c>
      <c r="H14" s="313">
        <f>(E14-I14)/I14</f>
        <v>-3.2053112798084517E-2</v>
      </c>
      <c r="I14" s="314">
        <v>38534.359999999993</v>
      </c>
      <c r="J14" s="312">
        <v>420700.83665699995</v>
      </c>
      <c r="K14" s="313">
        <f>SUM(K9:K13)</f>
        <v>1.0000000000000002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185</v>
      </c>
      <c r="E15" s="301">
        <v>28718.597420367998</v>
      </c>
      <c r="F15" s="301">
        <v>316428.43687500001</v>
      </c>
      <c r="G15" s="302">
        <f>E15/$E$20</f>
        <v>0.74952561129620499</v>
      </c>
      <c r="H15" s="302">
        <f>(E15-I15)/I15</f>
        <v>-0.16790282727026865</v>
      </c>
      <c r="I15" s="305">
        <v>34513.513999999996</v>
      </c>
      <c r="J15" s="301">
        <v>377112.225431</v>
      </c>
      <c r="K15" s="302">
        <f>I15/$I$20</f>
        <v>0.81649641220548042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652</v>
      </c>
      <c r="E16" s="129">
        <v>2517.0576944989998</v>
      </c>
      <c r="F16" s="129">
        <v>27735.730579999999</v>
      </c>
      <c r="G16" s="300">
        <f>E16/$E$20</f>
        <v>6.5692595620953018E-2</v>
      </c>
      <c r="H16" s="300">
        <f>(E16-I16)/I16</f>
        <v>0.15985157488704704</v>
      </c>
      <c r="I16" s="306">
        <v>2170.1550000000002</v>
      </c>
      <c r="J16" s="129">
        <v>23711.48688</v>
      </c>
      <c r="K16" s="300">
        <f>I16/$I$20</f>
        <v>5.1339998918388453E-2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21028</v>
      </c>
      <c r="E17" s="129">
        <v>1815.9658694540001</v>
      </c>
      <c r="F17" s="129">
        <v>20010.718386934997</v>
      </c>
      <c r="G17" s="300">
        <f>E17/$E$20</f>
        <v>4.7394826024136402E-2</v>
      </c>
      <c r="H17" s="300">
        <f t="shared" ref="H17:H20" si="1">(E17-I17)/I17</f>
        <v>0.25049295513978792</v>
      </c>
      <c r="I17" s="306">
        <v>1452.2</v>
      </c>
      <c r="J17" s="129">
        <v>15867.6</v>
      </c>
      <c r="K17" s="300">
        <f>I17/$I$20</f>
        <v>3.4355125062165467E-2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253622</v>
      </c>
      <c r="E18" s="129">
        <v>4168.1071193970001</v>
      </c>
      <c r="F18" s="129">
        <v>45928.727364844002</v>
      </c>
      <c r="G18" s="300">
        <f>E18/$E$20</f>
        <v>0.10878327346162119</v>
      </c>
      <c r="H18" s="300">
        <f t="shared" si="1"/>
        <v>0.27989532622888913</v>
      </c>
      <c r="I18" s="306">
        <v>3256.6</v>
      </c>
      <c r="J18" s="129">
        <v>35582.400000000001</v>
      </c>
      <c r="K18" s="300">
        <f>I18/$I$20</f>
        <v>7.7042349729684656E-2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44</v>
      </c>
      <c r="E19" s="129">
        <v>1095.9705029020001</v>
      </c>
      <c r="F19" s="129">
        <v>12078.936539999999</v>
      </c>
      <c r="G19" s="300">
        <f>E19/$E$20</f>
        <v>2.8603693597084617E-2</v>
      </c>
      <c r="H19" s="300">
        <f t="shared" si="1"/>
        <v>0.24855802807052738</v>
      </c>
      <c r="I19" s="306">
        <v>877.78899999999999</v>
      </c>
      <c r="J19" s="129">
        <v>9591.0172399999992</v>
      </c>
      <c r="K19" s="300">
        <f>I19/$I$20</f>
        <v>2.0766114084281206E-2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275531</v>
      </c>
      <c r="E20" s="312">
        <v>38315.69860661999</v>
      </c>
      <c r="F20" s="312">
        <v>422182.54974677903</v>
      </c>
      <c r="G20" s="313">
        <f>SUM(G15:G19)</f>
        <v>1.0000000000000002</v>
      </c>
      <c r="H20" s="313">
        <f t="shared" si="1"/>
        <v>-9.3554181604001529E-2</v>
      </c>
      <c r="I20" s="314">
        <v>42270.257999999987</v>
      </c>
      <c r="J20" s="312">
        <v>461864.729551</v>
      </c>
      <c r="K20" s="313">
        <f>SUM(K15:K19)</f>
        <v>1.0000000000000002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186</v>
      </c>
      <c r="E21" s="301">
        <v>29666.742866798002</v>
      </c>
      <c r="F21" s="301">
        <v>328013.52831600001</v>
      </c>
      <c r="G21" s="302">
        <f>E21/$E$26</f>
        <v>0.67868888920394432</v>
      </c>
      <c r="H21" s="302">
        <f>(E21-I21)/I21</f>
        <v>-0.16864788482292414</v>
      </c>
      <c r="I21" s="305">
        <v>35684.930999999997</v>
      </c>
      <c r="J21" s="301">
        <v>390594.26208200003</v>
      </c>
      <c r="K21" s="302">
        <f>I21/$I$26</f>
        <v>0.75061113873745933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652</v>
      </c>
      <c r="E22" s="129">
        <v>3279.4937836409999</v>
      </c>
      <c r="F22" s="129">
        <v>36262.464370000002</v>
      </c>
      <c r="G22" s="300">
        <f>E22/$E$26</f>
        <v>7.502529021012079E-2</v>
      </c>
      <c r="H22" s="300">
        <f t="shared" ref="H22:H26" si="2">(E22-I22)/I22</f>
        <v>0.2031779747906311</v>
      </c>
      <c r="I22" s="306">
        <v>2725.6930000000002</v>
      </c>
      <c r="J22" s="129">
        <v>29834.410970000001</v>
      </c>
      <c r="K22" s="300">
        <f>I22/$I$26</f>
        <v>5.7333318833619772E-2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20998</v>
      </c>
      <c r="E23" s="129">
        <v>2955.518</v>
      </c>
      <c r="F23" s="129">
        <v>32681.549149795002</v>
      </c>
      <c r="G23" s="300">
        <f>E23/$E$26</f>
        <v>6.7613665492317052E-2</v>
      </c>
      <c r="H23" s="300">
        <f t="shared" si="2"/>
        <v>9.5488342785129146E-2</v>
      </c>
      <c r="I23" s="306">
        <v>2697.9</v>
      </c>
      <c r="J23" s="129">
        <v>29529.8</v>
      </c>
      <c r="K23" s="300">
        <f>I23/$I$26</f>
        <v>5.6748709734083323E-2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253488</v>
      </c>
      <c r="E24" s="129">
        <v>6620.4028694600001</v>
      </c>
      <c r="F24" s="129">
        <v>73206.583531259996</v>
      </c>
      <c r="G24" s="300">
        <f>E24/$E$26</f>
        <v>0.15145558411082063</v>
      </c>
      <c r="H24" s="300">
        <f t="shared" si="2"/>
        <v>0.18749490941149033</v>
      </c>
      <c r="I24" s="306">
        <v>5575.1</v>
      </c>
      <c r="J24" s="129">
        <v>61021.9</v>
      </c>
      <c r="K24" s="300">
        <f>I24/$I$26</f>
        <v>0.11726888751936244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44</v>
      </c>
      <c r="E25" s="129">
        <v>1189.6865057119999</v>
      </c>
      <c r="F25" s="129">
        <v>13157.295120000001</v>
      </c>
      <c r="G25" s="300">
        <f>E25/$E$26</f>
        <v>2.7216570982797159E-2</v>
      </c>
      <c r="H25" s="300">
        <f t="shared" si="2"/>
        <v>0.38731670724218548</v>
      </c>
      <c r="I25" s="306">
        <v>857.54499999999996</v>
      </c>
      <c r="J25" s="129">
        <v>9386.2292099999995</v>
      </c>
      <c r="K25" s="300">
        <f>I25/$I$26</f>
        <v>1.8037945175475176E-2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275368</v>
      </c>
      <c r="E26" s="312">
        <v>43711.844025611004</v>
      </c>
      <c r="F26" s="312">
        <v>483321.42048705509</v>
      </c>
      <c r="G26" s="313">
        <f>SUM(G21:G25)</f>
        <v>1</v>
      </c>
      <c r="H26" s="313">
        <f t="shared" si="2"/>
        <v>-8.0547556043247287E-2</v>
      </c>
      <c r="I26" s="314">
        <v>47541.168999999994</v>
      </c>
      <c r="J26" s="312">
        <v>520366.60226200009</v>
      </c>
      <c r="K26" s="313">
        <f>SUM(K21:K25)</f>
        <v>1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186</v>
      </c>
      <c r="E27" s="301">
        <f>E9+E15+E21</f>
        <v>86501.198660209004</v>
      </c>
      <c r="F27" s="301">
        <f>F9+F15+F21</f>
        <v>953314.63287700003</v>
      </c>
      <c r="G27" s="302">
        <f>E27/$E$32</f>
        <v>0.72491033224728607</v>
      </c>
      <c r="H27" s="302">
        <f>(E27-I27)/I27</f>
        <v>-0.14494683471504705</v>
      </c>
      <c r="I27" s="305">
        <f>I9+I15+I21</f>
        <v>101164.70199999999</v>
      </c>
      <c r="J27" s="301">
        <f>J9+J15+J21</f>
        <v>1105790.7184600001</v>
      </c>
      <c r="K27" s="302">
        <f>I27/$I$32</f>
        <v>0.78821988913434304</v>
      </c>
    </row>
    <row r="28" spans="1:20" ht="11.1" customHeight="1">
      <c r="A28" s="432"/>
      <c r="B28" s="432"/>
      <c r="C28" s="153" t="s">
        <v>5</v>
      </c>
      <c r="D28" s="306">
        <f>D22</f>
        <v>652</v>
      </c>
      <c r="E28" s="129">
        <f t="shared" ref="E28:F31" si="3">E10+E16+E22</f>
        <v>8154.5674319259997</v>
      </c>
      <c r="F28" s="129">
        <f t="shared" si="3"/>
        <v>89898.698700000008</v>
      </c>
      <c r="G28" s="300">
        <f>E28/$E$32</f>
        <v>6.8338130314598941E-2</v>
      </c>
      <c r="H28" s="300">
        <f t="shared" ref="H28:H31" si="4">(E28-I28)/I28</f>
        <v>0.18270445293732343</v>
      </c>
      <c r="I28" s="306">
        <f t="shared" ref="I28:J28" si="5">I10+I16+I22</f>
        <v>6894.8480000000009</v>
      </c>
      <c r="J28" s="129">
        <f t="shared" si="5"/>
        <v>75371.375650000002</v>
      </c>
      <c r="K28" s="300">
        <f>I28/$I$32</f>
        <v>5.3720875154242516E-2</v>
      </c>
    </row>
    <row r="29" spans="1:20" ht="11.1" customHeight="1">
      <c r="A29" s="432"/>
      <c r="B29" s="432"/>
      <c r="C29" s="153" t="s">
        <v>6</v>
      </c>
      <c r="D29" s="306">
        <f>D23</f>
        <v>20998</v>
      </c>
      <c r="E29" s="129">
        <f t="shared" si="3"/>
        <v>6528.1542066700003</v>
      </c>
      <c r="F29" s="129">
        <f t="shared" si="3"/>
        <v>71959.551319104998</v>
      </c>
      <c r="G29" s="300">
        <f>E29/$E$32</f>
        <v>5.4708218015660427E-2</v>
      </c>
      <c r="H29" s="300">
        <f t="shared" si="4"/>
        <v>0.16696776393307472</v>
      </c>
      <c r="I29" s="306">
        <f t="shared" ref="I29:J29" si="6">I11+I17+I23</f>
        <v>5594.1170000000002</v>
      </c>
      <c r="J29" s="129">
        <f t="shared" si="6"/>
        <v>61151.028999999995</v>
      </c>
      <c r="K29" s="300">
        <f>I29/$I$32</f>
        <v>4.3586292396181274E-2</v>
      </c>
    </row>
    <row r="30" spans="1:20" ht="11.1" customHeight="1">
      <c r="A30" s="432"/>
      <c r="B30" s="432"/>
      <c r="C30" s="153" t="s">
        <v>7</v>
      </c>
      <c r="D30" s="306">
        <f>D24</f>
        <v>253488</v>
      </c>
      <c r="E30" s="129">
        <f t="shared" si="3"/>
        <v>14740.209012858</v>
      </c>
      <c r="F30" s="129">
        <f t="shared" si="3"/>
        <v>162541.75904529099</v>
      </c>
      <c r="G30" s="300">
        <f>E30/$E$32</f>
        <v>0.12352811265516762</v>
      </c>
      <c r="H30" s="300">
        <f t="shared" si="4"/>
        <v>0.2194689522029552</v>
      </c>
      <c r="I30" s="306">
        <f t="shared" ref="I30:J30" si="7">I12+I18+I24</f>
        <v>12087.4</v>
      </c>
      <c r="J30" s="129">
        <f t="shared" si="7"/>
        <v>132149.9</v>
      </c>
      <c r="K30" s="300">
        <f>I30/$I$32</f>
        <v>9.4178393249480033E-2</v>
      </c>
    </row>
    <row r="31" spans="1:20" ht="11.1" customHeight="1">
      <c r="A31" s="432"/>
      <c r="B31" s="432"/>
      <c r="C31" s="153" t="s">
        <v>90</v>
      </c>
      <c r="D31" s="306">
        <f>D25</f>
        <v>44</v>
      </c>
      <c r="E31" s="129">
        <f>E13+E19+E25</f>
        <v>3402.6271328859998</v>
      </c>
      <c r="F31" s="129">
        <f t="shared" si="3"/>
        <v>37501.220609999997</v>
      </c>
      <c r="G31" s="300">
        <f>E31/$E$32</f>
        <v>2.8515206767286902E-2</v>
      </c>
      <c r="H31" s="300">
        <f t="shared" si="4"/>
        <v>0.30633124976427412</v>
      </c>
      <c r="I31" s="306">
        <f>I13+I19+I25</f>
        <v>2604.7199999999998</v>
      </c>
      <c r="J31" s="129">
        <f t="shared" ref="J31" si="8">J13+J19+J25</f>
        <v>28469.145359999995</v>
      </c>
      <c r="K31" s="300">
        <f>I31/$I$32</f>
        <v>2.0294550065753231E-2</v>
      </c>
    </row>
    <row r="32" spans="1:20" ht="11.1" customHeight="1">
      <c r="A32" s="433"/>
      <c r="B32" s="433"/>
      <c r="C32" s="311" t="s">
        <v>0</v>
      </c>
      <c r="D32" s="314">
        <f>SUM(D27:D31)</f>
        <v>275368</v>
      </c>
      <c r="E32" s="312">
        <f>SUM(E27:E31)</f>
        <v>119326.75644454901</v>
      </c>
      <c r="F32" s="312">
        <f>SUM(F27:F31)</f>
        <v>1315215.862551396</v>
      </c>
      <c r="G32" s="313">
        <f>SUM(G27:G31)</f>
        <v>0.99999999999999989</v>
      </c>
      <c r="H32" s="313">
        <f>(E32-I32)/I32</f>
        <v>-7.0271340931907414E-2</v>
      </c>
      <c r="I32" s="314">
        <f>SUM(I27:I31)</f>
        <v>128345.78699999998</v>
      </c>
      <c r="J32" s="312">
        <f>SUM(J27:J31)</f>
        <v>1402932.1684700001</v>
      </c>
      <c r="K32" s="313">
        <f>SUM(K27:K31)</f>
        <v>1.0000000000000002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44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131</v>
      </c>
      <c r="E39" s="301">
        <v>69733.875</v>
      </c>
      <c r="F39" s="301">
        <v>766566.36630699993</v>
      </c>
      <c r="G39" s="302">
        <f>E39/$E$44</f>
        <v>0.94180749922082019</v>
      </c>
      <c r="H39" s="302">
        <f>(E39-I39)/I39</f>
        <v>0.25071670532499146</v>
      </c>
      <c r="I39" s="305">
        <v>55755.131999999998</v>
      </c>
      <c r="J39" s="301">
        <v>608345.15795300005</v>
      </c>
      <c r="K39" s="302">
        <f>I39/$I$44</f>
        <v>0.93155189110183345</v>
      </c>
    </row>
    <row r="40" spans="1:11" ht="11.1" customHeight="1">
      <c r="A40" s="432"/>
      <c r="B40" s="432"/>
      <c r="C40" s="153" t="s">
        <v>5</v>
      </c>
      <c r="D40" s="306">
        <v>264</v>
      </c>
      <c r="E40" s="129">
        <v>1190.655</v>
      </c>
      <c r="F40" s="129">
        <v>13080.941210000001</v>
      </c>
      <c r="G40" s="300">
        <f t="shared" ref="G40" si="9">E40/$E$44</f>
        <v>1.6080675396064906E-2</v>
      </c>
      <c r="H40" s="300">
        <f>(E40-I40)/I40</f>
        <v>2.8746725373773922E-2</v>
      </c>
      <c r="I40" s="306">
        <v>1157.384</v>
      </c>
      <c r="J40" s="129">
        <v>12635.896500000001</v>
      </c>
      <c r="K40" s="300">
        <f t="shared" ref="K40:K43" si="10">I40/$I$44</f>
        <v>1.9337471103664582E-2</v>
      </c>
    </row>
    <row r="41" spans="1:11" ht="11.1" customHeight="1">
      <c r="A41" s="432"/>
      <c r="B41" s="432"/>
      <c r="C41" s="153" t="s">
        <v>6</v>
      </c>
      <c r="D41" s="306">
        <v>12675</v>
      </c>
      <c r="E41" s="129">
        <v>898.52700000000004</v>
      </c>
      <c r="F41" s="129">
        <v>9855.6866499999996</v>
      </c>
      <c r="G41" s="300">
        <f>E41/$E$44</f>
        <v>1.2135270940448755E-2</v>
      </c>
      <c r="H41" s="300">
        <f t="shared" ref="H41:H43" si="11">(E41-I41)/I41</f>
        <v>7.6448939397206692E-2</v>
      </c>
      <c r="I41" s="306">
        <v>834.71400000000006</v>
      </c>
      <c r="J41" s="129">
        <v>9108.5519399999994</v>
      </c>
      <c r="K41" s="300">
        <f t="shared" si="10"/>
        <v>1.3946328837122579E-2</v>
      </c>
    </row>
    <row r="42" spans="1:11" ht="11.1" customHeight="1">
      <c r="A42" s="432"/>
      <c r="B42" s="432"/>
      <c r="C42" s="153" t="s">
        <v>7</v>
      </c>
      <c r="D42" s="306">
        <v>200739</v>
      </c>
      <c r="E42" s="129">
        <v>1830</v>
      </c>
      <c r="F42" s="129">
        <v>20105.3</v>
      </c>
      <c r="G42" s="300">
        <f>E42/$E$44</f>
        <v>2.4715501950438017E-2</v>
      </c>
      <c r="H42" s="300">
        <f t="shared" si="11"/>
        <v>9.3843395098625229E-2</v>
      </c>
      <c r="I42" s="306">
        <v>1673</v>
      </c>
      <c r="J42" s="129">
        <v>18266.099999999999</v>
      </c>
      <c r="K42" s="300">
        <f t="shared" si="10"/>
        <v>2.7952338339246822E-2</v>
      </c>
    </row>
    <row r="43" spans="1:11" ht="11.1" customHeight="1">
      <c r="A43" s="432"/>
      <c r="B43" s="432"/>
      <c r="C43" s="153" t="s">
        <v>90</v>
      </c>
      <c r="D43" s="306">
        <v>20</v>
      </c>
      <c r="E43" s="129">
        <v>389.54200000000003</v>
      </c>
      <c r="F43" s="129">
        <v>4263.0461800000003</v>
      </c>
      <c r="G43" s="300">
        <f>E43/$E$44</f>
        <v>5.2610524922281562E-3</v>
      </c>
      <c r="H43" s="300">
        <f t="shared" si="11"/>
        <v>-9.7551256805281941E-2</v>
      </c>
      <c r="I43" s="306">
        <v>431.65</v>
      </c>
      <c r="J43" s="129">
        <v>4693.3470099999995</v>
      </c>
      <c r="K43" s="300">
        <f t="shared" si="10"/>
        <v>7.21197061813263E-3</v>
      </c>
    </row>
    <row r="44" spans="1:11" ht="11.1" customHeight="1">
      <c r="A44" s="433"/>
      <c r="B44" s="433"/>
      <c r="C44" s="311" t="s">
        <v>0</v>
      </c>
      <c r="D44" s="314">
        <v>213829</v>
      </c>
      <c r="E44" s="312">
        <v>74042.599000000002</v>
      </c>
      <c r="F44" s="312">
        <v>813871.34034699993</v>
      </c>
      <c r="G44" s="313">
        <f>SUM(G39:G43)</f>
        <v>1</v>
      </c>
      <c r="H44" s="313">
        <f>(E44-I44)/I44</f>
        <v>0.23709729752849878</v>
      </c>
      <c r="I44" s="314">
        <v>59851.88</v>
      </c>
      <c r="J44" s="312">
        <v>653049.05340300011</v>
      </c>
      <c r="K44" s="313">
        <f>SUM(K39:K43)</f>
        <v>1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134</v>
      </c>
      <c r="E45" s="301">
        <v>48767.857000000004</v>
      </c>
      <c r="F45" s="301">
        <v>537761.93097500002</v>
      </c>
      <c r="G45" s="302">
        <f>E45/$E$50</f>
        <v>0.91690682395916445</v>
      </c>
      <c r="H45" s="302">
        <f>(E45-I45)/I45</f>
        <v>-0.23822069839533833</v>
      </c>
      <c r="I45" s="305">
        <v>64018.354000000007</v>
      </c>
      <c r="J45" s="301">
        <v>699917.28048899991</v>
      </c>
      <c r="K45" s="302">
        <f>I45/$I$50</f>
        <v>0.93969786718474968</v>
      </c>
    </row>
    <row r="46" spans="1:11" ht="11.1" customHeight="1">
      <c r="A46" s="432"/>
      <c r="B46" s="432"/>
      <c r="C46" s="153" t="s">
        <v>5</v>
      </c>
      <c r="D46" s="306">
        <v>268</v>
      </c>
      <c r="E46" s="129">
        <v>1198.453</v>
      </c>
      <c r="F46" s="129">
        <v>13203.615519999999</v>
      </c>
      <c r="G46" s="300">
        <f t="shared" ref="G46:G49" si="12">E46/$E$50</f>
        <v>2.2532663961312312E-2</v>
      </c>
      <c r="H46" s="300">
        <f>(E46-I46)/I46</f>
        <v>4.8391484820253065E-2</v>
      </c>
      <c r="I46" s="306">
        <v>1143.135</v>
      </c>
      <c r="J46" s="129">
        <v>12489.96824</v>
      </c>
      <c r="K46" s="300">
        <f t="shared" ref="K46:K49" si="13">I46/$I$50</f>
        <v>1.6779586701092607E-2</v>
      </c>
    </row>
    <row r="47" spans="1:11" ht="11.1" customHeight="1">
      <c r="A47" s="432"/>
      <c r="B47" s="432"/>
      <c r="C47" s="153" t="s">
        <v>6</v>
      </c>
      <c r="D47" s="306">
        <v>12669</v>
      </c>
      <c r="E47" s="129">
        <v>946.702</v>
      </c>
      <c r="F47" s="129">
        <v>10418.243250000001</v>
      </c>
      <c r="G47" s="300">
        <f t="shared" si="12"/>
        <v>1.779937806280454E-2</v>
      </c>
      <c r="H47" s="300">
        <f t="shared" ref="H47:H49" si="14">(E47-I47)/I47</f>
        <v>0.10175148672710559</v>
      </c>
      <c r="I47" s="306">
        <v>859.27</v>
      </c>
      <c r="J47" s="129">
        <v>9382.67317</v>
      </c>
      <c r="K47" s="300">
        <f t="shared" si="13"/>
        <v>1.2612854531308939E-2</v>
      </c>
    </row>
    <row r="48" spans="1:11" ht="11.1" customHeight="1">
      <c r="A48" s="432"/>
      <c r="B48" s="432"/>
      <c r="C48" s="153" t="s">
        <v>7</v>
      </c>
      <c r="D48" s="306">
        <v>200572</v>
      </c>
      <c r="E48" s="129">
        <v>1914.1</v>
      </c>
      <c r="F48" s="129">
        <v>21089.1</v>
      </c>
      <c r="G48" s="300">
        <f t="shared" si="12"/>
        <v>3.5987871104121646E-2</v>
      </c>
      <c r="H48" s="300">
        <f t="shared" si="14"/>
        <v>0.1437705407827905</v>
      </c>
      <c r="I48" s="306">
        <v>1673.5</v>
      </c>
      <c r="J48" s="129">
        <v>18285</v>
      </c>
      <c r="K48" s="300">
        <f t="shared" si="13"/>
        <v>2.4564586286202835E-2</v>
      </c>
    </row>
    <row r="49" spans="1:11" ht="11.1" customHeight="1">
      <c r="A49" s="432"/>
      <c r="B49" s="432"/>
      <c r="C49" s="153" t="s">
        <v>90</v>
      </c>
      <c r="D49" s="306">
        <v>20</v>
      </c>
      <c r="E49" s="129">
        <v>360.25199999999995</v>
      </c>
      <c r="F49" s="129">
        <v>3955.4371299999998</v>
      </c>
      <c r="G49" s="300">
        <f t="shared" si="12"/>
        <v>6.7732629125970591E-3</v>
      </c>
      <c r="H49" s="300">
        <f t="shared" si="14"/>
        <v>-0.16660420570476792</v>
      </c>
      <c r="I49" s="306">
        <v>432.27</v>
      </c>
      <c r="J49" s="129">
        <v>4704.8718099999996</v>
      </c>
      <c r="K49" s="300">
        <f t="shared" si="13"/>
        <v>6.3451052966458912E-3</v>
      </c>
    </row>
    <row r="50" spans="1:11" ht="11.1" customHeight="1">
      <c r="A50" s="433"/>
      <c r="B50" s="433"/>
      <c r="C50" s="311" t="s">
        <v>0</v>
      </c>
      <c r="D50" s="314">
        <v>213663</v>
      </c>
      <c r="E50" s="312">
        <v>53187.364000000001</v>
      </c>
      <c r="F50" s="312">
        <v>586428.32687500003</v>
      </c>
      <c r="G50" s="313">
        <f>SUM(G45:G49)</f>
        <v>0.99999999999999989</v>
      </c>
      <c r="H50" s="313">
        <f t="shared" ref="H50" si="15">(E50-I50)/I50</f>
        <v>-0.21928557375937949</v>
      </c>
      <c r="I50" s="314">
        <v>68126.52900000001</v>
      </c>
      <c r="J50" s="312">
        <v>744779.79370899987</v>
      </c>
      <c r="K50" s="313">
        <f>SUM(K45:K49)</f>
        <v>0.99999999999999989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134</v>
      </c>
      <c r="E51" s="301">
        <v>40696.820999999996</v>
      </c>
      <c r="F51" s="301">
        <v>449948.33534300001</v>
      </c>
      <c r="G51" s="302">
        <f>E51/$E$56</f>
        <v>0.8585081725814695</v>
      </c>
      <c r="H51" s="302">
        <f>(E51-I51)/I51</f>
        <v>-0.36260619955082313</v>
      </c>
      <c r="I51" s="305">
        <v>63848.786999999997</v>
      </c>
      <c r="J51" s="301">
        <v>698910.90867799998</v>
      </c>
      <c r="K51" s="302">
        <f>I51/$I$56</f>
        <v>0.90901732562990245</v>
      </c>
    </row>
    <row r="52" spans="1:11" ht="11.1" customHeight="1">
      <c r="A52" s="432"/>
      <c r="B52" s="432"/>
      <c r="C52" s="153" t="s">
        <v>5</v>
      </c>
      <c r="D52" s="306">
        <v>267</v>
      </c>
      <c r="E52" s="129">
        <v>1780.412</v>
      </c>
      <c r="F52" s="129">
        <v>19683.725050000001</v>
      </c>
      <c r="G52" s="300">
        <f t="shared" ref="G52:G55" si="16">E52/$E$56</f>
        <v>3.7558173218544995E-2</v>
      </c>
      <c r="H52" s="300">
        <f t="shared" ref="H52:H55" si="17">(E52-I52)/I52</f>
        <v>0.19359362848944781</v>
      </c>
      <c r="I52" s="306">
        <v>1491.64</v>
      </c>
      <c r="J52" s="129">
        <v>16326.20491</v>
      </c>
      <c r="K52" s="300">
        <f t="shared" ref="K52:K55" si="18">I52/$I$56</f>
        <v>2.123652879423673E-2</v>
      </c>
    </row>
    <row r="53" spans="1:11" ht="11.1" customHeight="1">
      <c r="A53" s="432"/>
      <c r="B53" s="432"/>
      <c r="C53" s="153" t="s">
        <v>6</v>
      </c>
      <c r="D53" s="306">
        <v>12654</v>
      </c>
      <c r="E53" s="129">
        <v>1541.184</v>
      </c>
      <c r="F53" s="129">
        <v>17015.699939999999</v>
      </c>
      <c r="G53" s="300">
        <f t="shared" si="16"/>
        <v>3.2511607219930017E-2</v>
      </c>
      <c r="H53" s="300">
        <f t="shared" si="17"/>
        <v>-3.0218215751629533E-2</v>
      </c>
      <c r="I53" s="306">
        <v>1589.2069999999999</v>
      </c>
      <c r="J53" s="129">
        <v>17387.354879999999</v>
      </c>
      <c r="K53" s="300">
        <f t="shared" si="18"/>
        <v>2.2625593451169563E-2</v>
      </c>
    </row>
    <row r="54" spans="1:11" ht="11.1" customHeight="1">
      <c r="A54" s="432"/>
      <c r="B54" s="432"/>
      <c r="C54" s="153" t="s">
        <v>7</v>
      </c>
      <c r="D54" s="306">
        <v>200453</v>
      </c>
      <c r="E54" s="129">
        <v>2998.2</v>
      </c>
      <c r="F54" s="129">
        <v>33147.800000000003</v>
      </c>
      <c r="G54" s="300">
        <f t="shared" si="16"/>
        <v>6.3247672417306555E-2</v>
      </c>
      <c r="H54" s="300">
        <f t="shared" si="17"/>
        <v>4.6528674648329688E-2</v>
      </c>
      <c r="I54" s="306">
        <v>2864.9</v>
      </c>
      <c r="J54" s="129">
        <v>31357.8</v>
      </c>
      <c r="K54" s="300">
        <f t="shared" si="18"/>
        <v>4.0787677551291736E-2</v>
      </c>
    </row>
    <row r="55" spans="1:11" ht="11.1" customHeight="1">
      <c r="A55" s="432"/>
      <c r="B55" s="432"/>
      <c r="C55" s="153" t="s">
        <v>90</v>
      </c>
      <c r="D55" s="306">
        <v>20</v>
      </c>
      <c r="E55" s="129">
        <v>387.49899999999997</v>
      </c>
      <c r="F55" s="129">
        <v>4261.9084999999995</v>
      </c>
      <c r="G55" s="300">
        <f t="shared" si="16"/>
        <v>8.1743745627489393E-3</v>
      </c>
      <c r="H55" s="300">
        <f t="shared" si="17"/>
        <v>-0.12885748521302015</v>
      </c>
      <c r="I55" s="306">
        <v>444.81699999999995</v>
      </c>
      <c r="J55" s="129">
        <v>4845.4521699999996</v>
      </c>
      <c r="K55" s="300">
        <f t="shared" si="18"/>
        <v>6.3328745733997466E-3</v>
      </c>
    </row>
    <row r="56" spans="1:11" ht="11.1" customHeight="1">
      <c r="A56" s="433"/>
      <c r="B56" s="433"/>
      <c r="C56" s="311" t="s">
        <v>0</v>
      </c>
      <c r="D56" s="314">
        <v>213528</v>
      </c>
      <c r="E56" s="312">
        <v>47404.115999999995</v>
      </c>
      <c r="F56" s="312">
        <v>524057.46883300005</v>
      </c>
      <c r="G56" s="313">
        <f>SUM(G51:G55)</f>
        <v>1</v>
      </c>
      <c r="H56" s="313">
        <f t="shared" ref="H56" si="19">(E56-I56)/I56</f>
        <v>-0.32510600788438365</v>
      </c>
      <c r="I56" s="314">
        <v>70239.350999999981</v>
      </c>
      <c r="J56" s="312">
        <v>768827.72063799994</v>
      </c>
      <c r="K56" s="313">
        <f>SUM(K51:K55)</f>
        <v>1.0000000000000002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134</v>
      </c>
      <c r="E57" s="301">
        <f>E39+E45+E51</f>
        <v>159198.55300000001</v>
      </c>
      <c r="F57" s="301">
        <f>F39+F45+F51</f>
        <v>1754276.6326250001</v>
      </c>
      <c r="G57" s="302">
        <f>E57/$E$62</f>
        <v>0.91161217736888578</v>
      </c>
      <c r="H57" s="302">
        <f>(E57-I57)/I57</f>
        <v>-0.13301066151163468</v>
      </c>
      <c r="I57" s="305">
        <f>I39+I45+I51</f>
        <v>183622.27299999999</v>
      </c>
      <c r="J57" s="301">
        <f>J39+J45+J51</f>
        <v>2007173.34712</v>
      </c>
      <c r="K57" s="302">
        <f>I57/$I$62</f>
        <v>0.92636640127504222</v>
      </c>
    </row>
    <row r="58" spans="1:11" ht="11.1" customHeight="1">
      <c r="A58" s="432"/>
      <c r="B58" s="432"/>
      <c r="C58" s="153" t="s">
        <v>5</v>
      </c>
      <c r="D58" s="306">
        <f>D52</f>
        <v>267</v>
      </c>
      <c r="E58" s="129">
        <f t="shared" ref="E58:F59" si="20">E40+E46+E52</f>
        <v>4169.5200000000004</v>
      </c>
      <c r="F58" s="129">
        <f t="shared" si="20"/>
        <v>45968.281780000005</v>
      </c>
      <c r="G58" s="300">
        <f t="shared" ref="G58:G61" si="21">E58/$E$62</f>
        <v>2.3875752223596634E-2</v>
      </c>
      <c r="H58" s="300">
        <f t="shared" ref="H58:H61" si="22">(E58-I58)/I58</f>
        <v>9.9510859117457842E-2</v>
      </c>
      <c r="I58" s="306">
        <f t="shared" ref="I58:J58" si="23">I40+I46+I52</f>
        <v>3792.1590000000006</v>
      </c>
      <c r="J58" s="129">
        <f t="shared" si="23"/>
        <v>41452.069650000005</v>
      </c>
      <c r="K58" s="300">
        <f t="shared" ref="K58:K61" si="24">I58/$I$62</f>
        <v>1.913127764131731E-2</v>
      </c>
    </row>
    <row r="59" spans="1:11" ht="11.1" customHeight="1">
      <c r="A59" s="432"/>
      <c r="B59" s="432"/>
      <c r="C59" s="153" t="s">
        <v>6</v>
      </c>
      <c r="D59" s="306">
        <f>D53</f>
        <v>12654</v>
      </c>
      <c r="E59" s="129">
        <f>E41+E47+E53</f>
        <v>3386.413</v>
      </c>
      <c r="F59" s="129">
        <f t="shared" si="20"/>
        <v>37289.629840000001</v>
      </c>
      <c r="G59" s="300">
        <f t="shared" si="21"/>
        <v>1.9391478567021274E-2</v>
      </c>
      <c r="H59" s="300">
        <f t="shared" si="22"/>
        <v>3.1439535500676082E-2</v>
      </c>
      <c r="I59" s="306">
        <f>I41+I47+I53</f>
        <v>3283.1909999999998</v>
      </c>
      <c r="J59" s="129">
        <f t="shared" ref="J59" si="25">J41+J47+J53</f>
        <v>35878.579989999998</v>
      </c>
      <c r="K59" s="300">
        <f t="shared" si="24"/>
        <v>1.6563556161667856E-2</v>
      </c>
    </row>
    <row r="60" spans="1:11" ht="11.1" customHeight="1">
      <c r="A60" s="432"/>
      <c r="B60" s="432"/>
      <c r="C60" s="153" t="s">
        <v>7</v>
      </c>
      <c r="D60" s="306">
        <f>D54</f>
        <v>200453</v>
      </c>
      <c r="E60" s="129">
        <f t="shared" ref="E60:F61" si="26">E42+E48+E54</f>
        <v>6742.2999999999993</v>
      </c>
      <c r="F60" s="129">
        <f t="shared" si="26"/>
        <v>74342.2</v>
      </c>
      <c r="G60" s="300">
        <f t="shared" si="21"/>
        <v>3.8608157345966815E-2</v>
      </c>
      <c r="H60" s="300">
        <f t="shared" si="22"/>
        <v>8.5471874295649883E-2</v>
      </c>
      <c r="I60" s="306">
        <f t="shared" ref="I60:J60" si="27">I42+I48+I54</f>
        <v>6211.4</v>
      </c>
      <c r="J60" s="129">
        <f t="shared" si="27"/>
        <v>67908.899999999994</v>
      </c>
      <c r="K60" s="300">
        <f t="shared" si="24"/>
        <v>3.1336243533374608E-2</v>
      </c>
    </row>
    <row r="61" spans="1:11" ht="11.1" customHeight="1">
      <c r="A61" s="432"/>
      <c r="B61" s="432"/>
      <c r="C61" s="153" t="s">
        <v>90</v>
      </c>
      <c r="D61" s="306">
        <f>D55</f>
        <v>20</v>
      </c>
      <c r="E61" s="129">
        <f>E43+E49+E55</f>
        <v>1137.2929999999999</v>
      </c>
      <c r="F61" s="129">
        <f t="shared" si="26"/>
        <v>12480.391809999999</v>
      </c>
      <c r="G61" s="300">
        <f t="shared" si="21"/>
        <v>6.512434494529558E-3</v>
      </c>
      <c r="H61" s="300">
        <f t="shared" si="22"/>
        <v>-0.13099958203978337</v>
      </c>
      <c r="I61" s="306">
        <f>I43+I49+I55</f>
        <v>1308.7369999999999</v>
      </c>
      <c r="J61" s="129">
        <f t="shared" ref="J61" si="28">J43+J49+J55</f>
        <v>14243.670989999999</v>
      </c>
      <c r="K61" s="300">
        <f t="shared" si="24"/>
        <v>6.6025213885980748E-3</v>
      </c>
    </row>
    <row r="62" spans="1:11" ht="11.1" customHeight="1">
      <c r="A62" s="433"/>
      <c r="B62" s="433"/>
      <c r="C62" s="311" t="s">
        <v>0</v>
      </c>
      <c r="D62" s="314">
        <f>SUM(D57:D61)</f>
        <v>213528</v>
      </c>
      <c r="E62" s="312">
        <f>SUM(E57:E61)</f>
        <v>174634.079</v>
      </c>
      <c r="F62" s="312">
        <f>SUM(F57:F61)</f>
        <v>1924357.1360550001</v>
      </c>
      <c r="G62" s="313">
        <f>SUM(G57:G61)</f>
        <v>1</v>
      </c>
      <c r="H62" s="313">
        <f>(E62-I62)/I62</f>
        <v>-0.11897864752381414</v>
      </c>
      <c r="I62" s="314">
        <f>SUM(I57:I61)</f>
        <v>198217.75999999998</v>
      </c>
      <c r="J62" s="312">
        <f>SUM(J57:J61)</f>
        <v>2166656.5677499999</v>
      </c>
      <c r="K62" s="313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505" t="s">
        <v>293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2" customFormat="1" ht="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6" ht="3" customHeight="1">
      <c r="A3" s="525"/>
      <c r="B3" s="525"/>
      <c r="C3" s="525"/>
      <c r="D3" s="293"/>
      <c r="E3" s="293"/>
      <c r="F3" s="294"/>
      <c r="G3" s="295"/>
      <c r="H3" s="295"/>
      <c r="I3" s="295"/>
      <c r="J3" s="76"/>
      <c r="K3" s="76"/>
    </row>
    <row r="4" spans="1:16" ht="12.95" customHeight="1">
      <c r="A4" s="497" t="s">
        <v>45</v>
      </c>
      <c r="B4" s="497"/>
      <c r="C4" s="497"/>
      <c r="D4" s="491">
        <f>'3.1'!A4</f>
        <v>2025</v>
      </c>
      <c r="E4" s="346"/>
      <c r="F4" s="335"/>
      <c r="G4" s="335"/>
      <c r="H4" s="335"/>
      <c r="I4" s="491">
        <f>D4-1</f>
        <v>2024</v>
      </c>
      <c r="J4" s="492"/>
      <c r="K4" s="492"/>
    </row>
    <row r="5" spans="1:16" ht="24.95" customHeight="1">
      <c r="A5" s="347"/>
      <c r="B5" s="347"/>
      <c r="C5" s="347"/>
      <c r="D5" s="493"/>
      <c r="E5" s="348"/>
      <c r="F5" s="349"/>
      <c r="G5" s="349"/>
      <c r="H5" s="350"/>
      <c r="I5" s="493"/>
      <c r="J5" s="494"/>
      <c r="K5" s="494"/>
    </row>
    <row r="6" spans="1:16" ht="24.95" customHeight="1">
      <c r="A6" s="297"/>
      <c r="B6" s="271"/>
      <c r="C6" s="298"/>
      <c r="D6" s="357" t="s">
        <v>156</v>
      </c>
      <c r="E6" s="489" t="s">
        <v>59</v>
      </c>
      <c r="F6" s="489"/>
      <c r="G6" s="490" t="s">
        <v>32</v>
      </c>
      <c r="H6" s="490" t="s">
        <v>256</v>
      </c>
      <c r="I6" s="487" t="s">
        <v>59</v>
      </c>
      <c r="J6" s="488"/>
      <c r="K6" s="490" t="s">
        <v>32</v>
      </c>
    </row>
    <row r="7" spans="1:16" ht="24.95" customHeight="1">
      <c r="A7" s="297"/>
      <c r="B7" s="299"/>
      <c r="D7" s="358"/>
      <c r="E7" s="489"/>
      <c r="F7" s="489"/>
      <c r="G7" s="490"/>
      <c r="H7" s="490"/>
      <c r="I7" s="487"/>
      <c r="J7" s="488"/>
      <c r="K7" s="490"/>
    </row>
    <row r="8" spans="1:16" ht="15" customHeight="1">
      <c r="A8" s="498" t="s">
        <v>155</v>
      </c>
      <c r="B8" s="498"/>
      <c r="C8" s="316" t="s">
        <v>180</v>
      </c>
      <c r="D8" s="336"/>
      <c r="E8" s="218" t="s">
        <v>247</v>
      </c>
      <c r="F8" s="218" t="s">
        <v>248</v>
      </c>
      <c r="G8" s="476"/>
      <c r="H8" s="476"/>
      <c r="I8" s="220" t="s">
        <v>247</v>
      </c>
      <c r="J8" s="218" t="s">
        <v>248</v>
      </c>
      <c r="K8" s="476"/>
    </row>
    <row r="9" spans="1:16" ht="11.1" customHeight="1">
      <c r="A9" s="431" t="str">
        <f>'3.1'!D5</f>
        <v>Červenec</v>
      </c>
      <c r="B9" s="431"/>
      <c r="C9" s="163" t="s">
        <v>4</v>
      </c>
      <c r="D9" s="305">
        <v>79</v>
      </c>
      <c r="E9" s="301">
        <v>5473.5992500000002</v>
      </c>
      <c r="F9" s="301">
        <v>60146.505512999996</v>
      </c>
      <c r="G9" s="302">
        <f>E9/$E$14</f>
        <v>0.59964448609906817</v>
      </c>
      <c r="H9" s="302">
        <f>(E9-I9)/I9</f>
        <v>5.4938656554729376E-2</v>
      </c>
      <c r="I9" s="305">
        <v>5188.5474249999997</v>
      </c>
      <c r="J9" s="301">
        <v>56643.125960999998</v>
      </c>
      <c r="K9" s="302">
        <f>I9/$I$14</f>
        <v>0.60584812706628344</v>
      </c>
    </row>
    <row r="10" spans="1:16" ht="11.1" customHeight="1">
      <c r="A10" s="432"/>
      <c r="B10" s="432"/>
      <c r="C10" s="153" t="s">
        <v>5</v>
      </c>
      <c r="D10" s="306">
        <v>296</v>
      </c>
      <c r="E10" s="129">
        <v>1357.0084619999998</v>
      </c>
      <c r="F10" s="129">
        <v>14912.359444000002</v>
      </c>
      <c r="G10" s="300">
        <f>E10/$E$14</f>
        <v>0.14866317475253177</v>
      </c>
      <c r="H10" s="300">
        <f>(E10-I10)/I10</f>
        <v>8.5099196655137474E-2</v>
      </c>
      <c r="I10" s="306">
        <v>1250.5847080000001</v>
      </c>
      <c r="J10" s="129">
        <v>13650.97177</v>
      </c>
      <c r="K10" s="300">
        <f>I10/$I$14</f>
        <v>0.14602630389940688</v>
      </c>
      <c r="L10" s="93"/>
      <c r="N10" s="93"/>
      <c r="O10" s="93"/>
      <c r="P10" s="93"/>
    </row>
    <row r="11" spans="1:16" ht="11.1" customHeight="1">
      <c r="A11" s="432"/>
      <c r="B11" s="432"/>
      <c r="C11" s="153" t="s">
        <v>6</v>
      </c>
      <c r="D11" s="306">
        <v>10614</v>
      </c>
      <c r="E11" s="129">
        <v>800.54605100000003</v>
      </c>
      <c r="F11" s="129">
        <v>8797.3160090000001</v>
      </c>
      <c r="G11" s="300">
        <f>E11/$E$14</f>
        <v>8.7701529363979916E-2</v>
      </c>
      <c r="H11" s="300">
        <f t="shared" ref="H11:H13" si="0">(E11-I11)/I11</f>
        <v>6.1004944149712519E-2</v>
      </c>
      <c r="I11" s="306">
        <v>754.516796</v>
      </c>
      <c r="J11" s="129">
        <v>8237.5617280000006</v>
      </c>
      <c r="K11" s="300">
        <f>I11/$I$14</f>
        <v>8.8102227897946417E-2</v>
      </c>
      <c r="L11" s="93"/>
      <c r="N11" s="93"/>
      <c r="O11" s="93"/>
      <c r="P11" s="93"/>
    </row>
    <row r="12" spans="1:16" ht="11.1" customHeight="1">
      <c r="A12" s="432"/>
      <c r="B12" s="432"/>
      <c r="C12" s="153" t="s">
        <v>7</v>
      </c>
      <c r="D12" s="306">
        <v>105509</v>
      </c>
      <c r="E12" s="129">
        <v>1340.6672490000001</v>
      </c>
      <c r="F12" s="129">
        <v>14730.976268999999</v>
      </c>
      <c r="G12" s="300">
        <f>E12/$E$14</f>
        <v>0.14687295997354144</v>
      </c>
      <c r="H12" s="300">
        <f t="shared" si="0"/>
        <v>9.7979864660499988E-2</v>
      </c>
      <c r="I12" s="306">
        <v>1221.0308150000001</v>
      </c>
      <c r="J12" s="129">
        <v>13330.609665</v>
      </c>
      <c r="K12" s="300">
        <f>I12/$I$14</f>
        <v>0.14257540150709283</v>
      </c>
      <c r="L12" s="93"/>
      <c r="N12" s="93"/>
      <c r="O12" s="93"/>
      <c r="P12" s="93"/>
    </row>
    <row r="13" spans="1:16" ht="11.1" customHeight="1">
      <c r="A13" s="432"/>
      <c r="B13" s="432"/>
      <c r="C13" s="153" t="s">
        <v>90</v>
      </c>
      <c r="D13" s="306">
        <v>15</v>
      </c>
      <c r="E13" s="129">
        <v>156.25299999999999</v>
      </c>
      <c r="F13" s="129">
        <v>1717.2024570000001</v>
      </c>
      <c r="G13" s="300">
        <f>E13/$E$14</f>
        <v>1.7117849810878591E-2</v>
      </c>
      <c r="H13" s="300">
        <f t="shared" si="0"/>
        <v>4.5688166717974106E-2</v>
      </c>
      <c r="I13" s="306">
        <v>149.42599999999999</v>
      </c>
      <c r="J13" s="129">
        <v>1631.0376309999999</v>
      </c>
      <c r="K13" s="300">
        <f>I13/$I$14</f>
        <v>1.7447939629270413E-2</v>
      </c>
      <c r="L13" s="93"/>
      <c r="N13" s="93"/>
      <c r="O13" s="93"/>
      <c r="P13" s="93"/>
    </row>
    <row r="14" spans="1:16" ht="11.1" customHeight="1">
      <c r="A14" s="433"/>
      <c r="B14" s="433"/>
      <c r="C14" s="311" t="s">
        <v>0</v>
      </c>
      <c r="D14" s="314">
        <v>116513</v>
      </c>
      <c r="E14" s="312">
        <v>9128.0740120000009</v>
      </c>
      <c r="F14" s="312">
        <v>100304.359692</v>
      </c>
      <c r="G14" s="313">
        <f>SUM(G9:G13)</f>
        <v>0.99999999999999989</v>
      </c>
      <c r="H14" s="313">
        <f>(E14-I14)/I14</f>
        <v>6.5852557740207249E-2</v>
      </c>
      <c r="I14" s="314">
        <v>8564.1057440000004</v>
      </c>
      <c r="J14" s="312">
        <v>93493.306754999998</v>
      </c>
      <c r="K14" s="313">
        <f>SUM(K9:K13)</f>
        <v>0.99999999999999989</v>
      </c>
      <c r="L14" s="93"/>
    </row>
    <row r="15" spans="1:16" ht="11.1" customHeight="1">
      <c r="A15" s="431" t="str">
        <f>'3.1'!E5</f>
        <v>Srpen</v>
      </c>
      <c r="B15" s="431"/>
      <c r="C15" s="163" t="s">
        <v>4</v>
      </c>
      <c r="D15" s="305">
        <v>79</v>
      </c>
      <c r="E15" s="301">
        <v>5971.1271020000004</v>
      </c>
      <c r="F15" s="301">
        <v>65798.730748999995</v>
      </c>
      <c r="G15" s="302">
        <f>E15/$E$20</f>
        <v>0.61479152824739403</v>
      </c>
      <c r="H15" s="302">
        <f>(E15-I15)/I15</f>
        <v>1.7198405291648716E-2</v>
      </c>
      <c r="I15" s="305">
        <v>5870.1695470000004</v>
      </c>
      <c r="J15" s="301">
        <v>64132.520598000003</v>
      </c>
      <c r="K15" s="302">
        <f>I15/$I$20</f>
        <v>0.63382351414905691</v>
      </c>
      <c r="L15" s="93"/>
      <c r="M15" s="93"/>
    </row>
    <row r="16" spans="1:16" ht="11.1" customHeight="1">
      <c r="A16" s="432"/>
      <c r="B16" s="432"/>
      <c r="C16" s="153" t="s">
        <v>5</v>
      </c>
      <c r="D16" s="306">
        <v>296</v>
      </c>
      <c r="E16" s="129">
        <v>1339.823805</v>
      </c>
      <c r="F16" s="129">
        <v>14766.920265999999</v>
      </c>
      <c r="G16" s="300">
        <f>E16/$E$20</f>
        <v>0.13794921973479513</v>
      </c>
      <c r="H16" s="300">
        <f>(E16-I16)/I16</f>
        <v>6.7045392241067231E-2</v>
      </c>
      <c r="I16" s="306">
        <v>1255.6389960000001</v>
      </c>
      <c r="J16" s="129">
        <v>13716.052230000001</v>
      </c>
      <c r="K16" s="300">
        <f>I16/$I$20</f>
        <v>0.13557590024874858</v>
      </c>
      <c r="L16" s="97"/>
      <c r="M16" s="93"/>
    </row>
    <row r="17" spans="1:20" ht="11.1" customHeight="1">
      <c r="A17" s="432"/>
      <c r="B17" s="432"/>
      <c r="C17" s="153" t="s">
        <v>6</v>
      </c>
      <c r="D17" s="306">
        <v>10613</v>
      </c>
      <c r="E17" s="129">
        <v>851.05138899999997</v>
      </c>
      <c r="F17" s="129">
        <v>9378.9263499999997</v>
      </c>
      <c r="G17" s="300">
        <f>E17/$E$20</f>
        <v>8.7624861290446762E-2</v>
      </c>
      <c r="H17" s="300">
        <f t="shared" ref="H17:H20" si="1">(E17-I17)/I17</f>
        <v>0.10860590582665799</v>
      </c>
      <c r="I17" s="306">
        <v>767.67711999999995</v>
      </c>
      <c r="J17" s="129">
        <v>8387.199607999999</v>
      </c>
      <c r="K17" s="300">
        <f>I17/$I$20</f>
        <v>8.2888885241635624E-2</v>
      </c>
      <c r="L17" s="93"/>
      <c r="M17" s="93"/>
      <c r="N17" s="93"/>
      <c r="O17" s="93"/>
    </row>
    <row r="18" spans="1:20" ht="11.1" customHeight="1">
      <c r="A18" s="432"/>
      <c r="B18" s="432"/>
      <c r="C18" s="153" t="s">
        <v>7</v>
      </c>
      <c r="D18" s="306">
        <v>105429</v>
      </c>
      <c r="E18" s="129">
        <v>1401.869772</v>
      </c>
      <c r="F18" s="129">
        <v>15447.288705999999</v>
      </c>
      <c r="G18" s="300">
        <f>E18/$E$20</f>
        <v>0.14433751698955308</v>
      </c>
      <c r="H18" s="300">
        <f t="shared" si="1"/>
        <v>0.15220061925457148</v>
      </c>
      <c r="I18" s="306">
        <v>1216.6889590000001</v>
      </c>
      <c r="J18" s="129">
        <v>13293.158229999999</v>
      </c>
      <c r="K18" s="300">
        <f>I18/$I$20</f>
        <v>0.13137032336891338</v>
      </c>
      <c r="L18" s="93"/>
      <c r="M18" s="93"/>
      <c r="N18" s="93"/>
      <c r="O18" s="93"/>
    </row>
    <row r="19" spans="1:20" ht="11.1" customHeight="1">
      <c r="A19" s="432"/>
      <c r="B19" s="432"/>
      <c r="C19" s="153" t="s">
        <v>90</v>
      </c>
      <c r="D19" s="306">
        <v>15</v>
      </c>
      <c r="E19" s="129">
        <v>148.57</v>
      </c>
      <c r="F19" s="129">
        <v>1637.514709</v>
      </c>
      <c r="G19" s="300">
        <f>E19/$E$20</f>
        <v>1.5296873737811002E-2</v>
      </c>
      <c r="H19" s="300">
        <f t="shared" si="1"/>
        <v>-1.8342077094868781E-2</v>
      </c>
      <c r="I19" s="306">
        <v>151.346</v>
      </c>
      <c r="J19" s="129">
        <v>1653.167256</v>
      </c>
      <c r="K19" s="300">
        <f>I19/$I$20</f>
        <v>1.6341376991645375E-2</v>
      </c>
      <c r="L19" s="93"/>
      <c r="M19" s="93"/>
      <c r="N19" s="93"/>
      <c r="O19" s="93"/>
    </row>
    <row r="20" spans="1:20" ht="11.1" customHeight="1">
      <c r="A20" s="433"/>
      <c r="B20" s="433"/>
      <c r="C20" s="311" t="s">
        <v>0</v>
      </c>
      <c r="D20" s="314">
        <v>116432</v>
      </c>
      <c r="E20" s="312">
        <v>9712.4420680000003</v>
      </c>
      <c r="F20" s="312">
        <v>107029.38077999999</v>
      </c>
      <c r="G20" s="313">
        <f>SUM(G15:G19)</f>
        <v>1</v>
      </c>
      <c r="H20" s="313">
        <f t="shared" si="1"/>
        <v>4.8687625326760124E-2</v>
      </c>
      <c r="I20" s="314">
        <v>9261.5206220000018</v>
      </c>
      <c r="J20" s="312">
        <v>101182.097922</v>
      </c>
      <c r="K20" s="313">
        <f>SUM(K15:K19)</f>
        <v>0.99999999999999989</v>
      </c>
      <c r="L20" s="93"/>
      <c r="M20" s="93"/>
      <c r="N20" s="93"/>
      <c r="O20" s="93"/>
    </row>
    <row r="21" spans="1:20" ht="11.1" customHeight="1">
      <c r="A21" s="431" t="str">
        <f>'3.1'!F5</f>
        <v>Září</v>
      </c>
      <c r="B21" s="431"/>
      <c r="C21" s="163" t="s">
        <v>4</v>
      </c>
      <c r="D21" s="305">
        <v>79</v>
      </c>
      <c r="E21" s="301">
        <v>6343.1552160000001</v>
      </c>
      <c r="F21" s="301">
        <v>70132.935933999994</v>
      </c>
      <c r="G21" s="302">
        <f>E21/$E$26</f>
        <v>0.54085068852123797</v>
      </c>
      <c r="H21" s="302">
        <f>(E21-I21)/I21</f>
        <v>-3.7623459496039527E-2</v>
      </c>
      <c r="I21" s="305">
        <v>6591.1365760000008</v>
      </c>
      <c r="J21" s="301">
        <v>72140.012097999992</v>
      </c>
      <c r="K21" s="302">
        <f>I21/$I$26</f>
        <v>0.55179905035387178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2"/>
      <c r="B22" s="432"/>
      <c r="C22" s="153" t="s">
        <v>5</v>
      </c>
      <c r="D22" s="306">
        <v>298</v>
      </c>
      <c r="E22" s="129">
        <v>1615.527317</v>
      </c>
      <c r="F22" s="129">
        <v>17863.728353999999</v>
      </c>
      <c r="G22" s="300">
        <f>E22/$E$26</f>
        <v>0.13774833375042519</v>
      </c>
      <c r="H22" s="300">
        <f t="shared" ref="H22:H26" si="2">(E22-I22)/I22</f>
        <v>2.6941782602073944E-2</v>
      </c>
      <c r="I22" s="306">
        <v>1573.1440129999999</v>
      </c>
      <c r="J22" s="129">
        <v>17216.852016000001</v>
      </c>
      <c r="K22" s="300">
        <f>I22/$I$26</f>
        <v>0.13170101429912756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2"/>
      <c r="B23" s="432"/>
      <c r="C23" s="153" t="s">
        <v>6</v>
      </c>
      <c r="D23" s="306">
        <v>10602</v>
      </c>
      <c r="E23" s="129">
        <v>1398.3470320000001</v>
      </c>
      <c r="F23" s="129">
        <v>15461.574368000001</v>
      </c>
      <c r="G23" s="300">
        <f>E23/$E$26</f>
        <v>0.11923040337104525</v>
      </c>
      <c r="H23" s="300">
        <f t="shared" si="2"/>
        <v>-5.4062299400457564E-2</v>
      </c>
      <c r="I23" s="306">
        <v>1478.2654619999998</v>
      </c>
      <c r="J23" s="129">
        <v>16179.200331</v>
      </c>
      <c r="K23" s="300">
        <f>I23/$I$26</f>
        <v>0.12375793896802531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2"/>
      <c r="B24" s="432"/>
      <c r="C24" s="153" t="s">
        <v>7</v>
      </c>
      <c r="D24" s="306">
        <v>105377</v>
      </c>
      <c r="E24" s="129">
        <v>2221.9133040000002</v>
      </c>
      <c r="F24" s="129">
        <v>24566.403428000001</v>
      </c>
      <c r="G24" s="300">
        <f>E24/$E$26</f>
        <v>0.1894519839703224</v>
      </c>
      <c r="H24" s="300">
        <f t="shared" si="2"/>
        <v>3.0977949402203837E-2</v>
      </c>
      <c r="I24" s="306">
        <v>2155.1511410000003</v>
      </c>
      <c r="J24" s="129">
        <v>23588.038048000002</v>
      </c>
      <c r="K24" s="300">
        <f>I24/$I$26</f>
        <v>0.18042568823457245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2"/>
      <c r="B25" s="432"/>
      <c r="C25" s="153" t="s">
        <v>90</v>
      </c>
      <c r="D25" s="306">
        <v>15</v>
      </c>
      <c r="E25" s="129">
        <v>149.16499999999999</v>
      </c>
      <c r="F25" s="129">
        <v>1649.4377159999999</v>
      </c>
      <c r="G25" s="300">
        <f>E25/$E$26</f>
        <v>1.2718590386969092E-2</v>
      </c>
      <c r="H25" s="300">
        <f t="shared" si="2"/>
        <v>1.3927784877239776E-2</v>
      </c>
      <c r="I25" s="306">
        <v>147.11599999999999</v>
      </c>
      <c r="J25" s="129">
        <v>1610.1121029999999</v>
      </c>
      <c r="K25" s="300">
        <f>I25/$I$26</f>
        <v>1.231630814440283E-2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11" t="s">
        <v>0</v>
      </c>
      <c r="D26" s="314">
        <v>116371</v>
      </c>
      <c r="E26" s="312">
        <v>11728.107869000001</v>
      </c>
      <c r="F26" s="312">
        <v>129674.07980000001</v>
      </c>
      <c r="G26" s="313">
        <f>SUM(G21:G25)</f>
        <v>0.99999999999999989</v>
      </c>
      <c r="H26" s="313">
        <f t="shared" si="2"/>
        <v>-1.8142211143589739E-2</v>
      </c>
      <c r="I26" s="314">
        <v>11944.813192000001</v>
      </c>
      <c r="J26" s="312">
        <v>130734.21459600001</v>
      </c>
      <c r="K26" s="313">
        <f>SUM(K21:K25)</f>
        <v>1</v>
      </c>
    </row>
    <row r="27" spans="1:20" ht="11.1" customHeight="1">
      <c r="A27" s="501" t="str">
        <f>'3.1'!G5</f>
        <v>III. čtvrtletí</v>
      </c>
      <c r="B27" s="431"/>
      <c r="C27" s="163" t="s">
        <v>4</v>
      </c>
      <c r="D27" s="305">
        <f>D21</f>
        <v>79</v>
      </c>
      <c r="E27" s="301">
        <f>E9+E15+E21</f>
        <v>17787.881568000001</v>
      </c>
      <c r="F27" s="301">
        <f>F9+F15+F21</f>
        <v>196078.172196</v>
      </c>
      <c r="G27" s="302">
        <f>E27/$E$32</f>
        <v>0.58189997684151229</v>
      </c>
      <c r="H27" s="302">
        <f>(E27-I27)/I27</f>
        <v>7.8203493091104012E-3</v>
      </c>
      <c r="I27" s="305">
        <f>I9+I15+I21</f>
        <v>17649.853547999999</v>
      </c>
      <c r="J27" s="301">
        <f>J9+J15+J21</f>
        <v>192915.65865699999</v>
      </c>
      <c r="K27" s="302">
        <f>I27/$I$32</f>
        <v>0.59286506380309989</v>
      </c>
    </row>
    <row r="28" spans="1:20" ht="11.1" customHeight="1">
      <c r="A28" s="432"/>
      <c r="B28" s="432"/>
      <c r="C28" s="153" t="s">
        <v>5</v>
      </c>
      <c r="D28" s="306">
        <f>D22</f>
        <v>298</v>
      </c>
      <c r="E28" s="129">
        <f t="shared" ref="E28:F31" si="3">E10+E16+E22</f>
        <v>4312.3595839999998</v>
      </c>
      <c r="F28" s="129">
        <f t="shared" si="3"/>
        <v>47543.008064000001</v>
      </c>
      <c r="G28" s="300">
        <f>E28/$E$32</f>
        <v>0.14107143295670235</v>
      </c>
      <c r="H28" s="300">
        <f t="shared" ref="H28:H31" si="4">(E28-I28)/I28</f>
        <v>5.7114700895692684E-2</v>
      </c>
      <c r="I28" s="306">
        <f t="shared" ref="I28:J28" si="5">I10+I16+I22</f>
        <v>4079.3677170000001</v>
      </c>
      <c r="J28" s="129">
        <f t="shared" si="5"/>
        <v>44583.876016000002</v>
      </c>
      <c r="K28" s="300">
        <f>I28/$I$32</f>
        <v>0.13702746004312122</v>
      </c>
    </row>
    <row r="29" spans="1:20" ht="11.1" customHeight="1">
      <c r="A29" s="432"/>
      <c r="B29" s="432"/>
      <c r="C29" s="153" t="s">
        <v>6</v>
      </c>
      <c r="D29" s="306">
        <f>D23</f>
        <v>10602</v>
      </c>
      <c r="E29" s="129">
        <f t="shared" si="3"/>
        <v>3049.9444720000001</v>
      </c>
      <c r="F29" s="129">
        <f t="shared" si="3"/>
        <v>33637.816726999998</v>
      </c>
      <c r="G29" s="300">
        <f>E29/$E$32</f>
        <v>9.9773692040847434E-2</v>
      </c>
      <c r="H29" s="300">
        <f t="shared" si="4"/>
        <v>1.6492505901874795E-2</v>
      </c>
      <c r="I29" s="306">
        <f t="shared" ref="I29:J29" si="6">I11+I17+I23</f>
        <v>3000.4593779999996</v>
      </c>
      <c r="J29" s="129">
        <f t="shared" si="6"/>
        <v>32803.961666999996</v>
      </c>
      <c r="K29" s="300">
        <f>I29/$I$32</f>
        <v>0.10078653263262644</v>
      </c>
    </row>
    <row r="30" spans="1:20" ht="11.1" customHeight="1">
      <c r="A30" s="432"/>
      <c r="B30" s="432"/>
      <c r="C30" s="153" t="s">
        <v>7</v>
      </c>
      <c r="D30" s="306">
        <f>D24</f>
        <v>105377</v>
      </c>
      <c r="E30" s="129">
        <f t="shared" si="3"/>
        <v>4964.4503249999998</v>
      </c>
      <c r="F30" s="129">
        <f t="shared" si="3"/>
        <v>54744.668403000003</v>
      </c>
      <c r="G30" s="300">
        <f>E30/$E$32</f>
        <v>0.16240346092393873</v>
      </c>
      <c r="H30" s="300">
        <f t="shared" si="4"/>
        <v>8.090351696722993E-2</v>
      </c>
      <c r="I30" s="306">
        <f t="shared" ref="I30:J30" si="7">I12+I18+I24</f>
        <v>4592.8709150000004</v>
      </c>
      <c r="J30" s="129">
        <f t="shared" si="7"/>
        <v>50211.805942999999</v>
      </c>
      <c r="K30" s="300">
        <f>I30/$I$32</f>
        <v>0.15427622108339986</v>
      </c>
    </row>
    <row r="31" spans="1:20" ht="11.1" customHeight="1">
      <c r="A31" s="432"/>
      <c r="B31" s="432"/>
      <c r="C31" s="153" t="s">
        <v>90</v>
      </c>
      <c r="D31" s="306">
        <f>D25</f>
        <v>15</v>
      </c>
      <c r="E31" s="129">
        <f>E13+E19+E25</f>
        <v>453.98799999999994</v>
      </c>
      <c r="F31" s="129">
        <f t="shared" si="3"/>
        <v>5004.1548820000007</v>
      </c>
      <c r="G31" s="300">
        <f>E31/$E$32</f>
        <v>1.4851437236999061E-2</v>
      </c>
      <c r="H31" s="300">
        <f t="shared" si="4"/>
        <v>1.3619476297645764E-2</v>
      </c>
      <c r="I31" s="306">
        <f>I13+I19+I25</f>
        <v>447.88799999999998</v>
      </c>
      <c r="J31" s="129">
        <f t="shared" ref="J31" si="8">J13+J19+J25</f>
        <v>4894.3169899999994</v>
      </c>
      <c r="K31" s="300">
        <f>I31/$I$32</f>
        <v>1.5044722437752593E-2</v>
      </c>
    </row>
    <row r="32" spans="1:20" ht="11.1" customHeight="1">
      <c r="A32" s="433"/>
      <c r="B32" s="433"/>
      <c r="C32" s="311" t="s">
        <v>0</v>
      </c>
      <c r="D32" s="314">
        <f>SUM(D27:D31)</f>
        <v>116371</v>
      </c>
      <c r="E32" s="312">
        <f>SUM(E27:E31)</f>
        <v>30568.623949000004</v>
      </c>
      <c r="F32" s="312">
        <f>SUM(F27:F31)</f>
        <v>337007.82027199998</v>
      </c>
      <c r="G32" s="313">
        <f>SUM(G27:G31)</f>
        <v>0.99999999999999989</v>
      </c>
      <c r="H32" s="313">
        <f>(E32-I32)/I32</f>
        <v>2.6811306881947456E-2</v>
      </c>
      <c r="I32" s="314">
        <f>SUM(I27:I31)</f>
        <v>29770.439557999998</v>
      </c>
      <c r="J32" s="312">
        <f>SUM(J27:J31)</f>
        <v>325409.61927299999</v>
      </c>
      <c r="K32" s="313">
        <f>SUM(K27:K31)</f>
        <v>1</v>
      </c>
    </row>
    <row r="33" spans="1:11" ht="9.9499999999999993" customHeight="1">
      <c r="A33" s="351"/>
      <c r="B33" s="352"/>
      <c r="C33" s="353"/>
      <c r="D33" s="354"/>
      <c r="E33" s="354"/>
      <c r="F33" s="354"/>
      <c r="G33" s="355"/>
      <c r="H33" s="356"/>
      <c r="I33" s="354"/>
      <c r="J33" s="354"/>
      <c r="K33" s="355"/>
    </row>
    <row r="34" spans="1:11" ht="12.95" customHeight="1">
      <c r="A34" s="526" t="s">
        <v>46</v>
      </c>
      <c r="B34" s="526"/>
      <c r="C34" s="526"/>
      <c r="D34" s="491">
        <f>D4</f>
        <v>2025</v>
      </c>
      <c r="E34" s="346"/>
      <c r="F34" s="335"/>
      <c r="G34" s="335"/>
      <c r="H34" s="335"/>
      <c r="I34" s="491">
        <f>D34-1</f>
        <v>2024</v>
      </c>
      <c r="J34" s="492"/>
      <c r="K34" s="492"/>
    </row>
    <row r="35" spans="1:11" ht="24.95" customHeight="1">
      <c r="A35" s="297"/>
      <c r="B35" s="271"/>
      <c r="C35" s="149"/>
      <c r="D35" s="493"/>
      <c r="E35" s="348"/>
      <c r="F35" s="349"/>
      <c r="G35" s="349"/>
      <c r="H35" s="350"/>
      <c r="I35" s="493"/>
      <c r="J35" s="494"/>
      <c r="K35" s="494"/>
    </row>
    <row r="36" spans="1:11" ht="24.95" customHeight="1">
      <c r="A36" s="130"/>
      <c r="B36" s="131"/>
      <c r="C36" s="345"/>
      <c r="D36" s="357" t="s">
        <v>156</v>
      </c>
      <c r="E36" s="489" t="s">
        <v>59</v>
      </c>
      <c r="F36" s="489"/>
      <c r="G36" s="490" t="s">
        <v>32</v>
      </c>
      <c r="H36" s="490" t="s">
        <v>256</v>
      </c>
      <c r="I36" s="487" t="s">
        <v>59</v>
      </c>
      <c r="J36" s="488"/>
      <c r="K36" s="490" t="s">
        <v>32</v>
      </c>
    </row>
    <row r="37" spans="1:11" ht="24.95" customHeight="1">
      <c r="A37" s="130"/>
      <c r="B37" s="299"/>
      <c r="C37" s="299"/>
      <c r="D37" s="358"/>
      <c r="E37" s="489"/>
      <c r="F37" s="489"/>
      <c r="G37" s="490"/>
      <c r="H37" s="490"/>
      <c r="I37" s="487"/>
      <c r="J37" s="488"/>
      <c r="K37" s="490"/>
    </row>
    <row r="38" spans="1:11" ht="15" customHeight="1">
      <c r="A38" s="527" t="s">
        <v>155</v>
      </c>
      <c r="B38" s="527"/>
      <c r="C38" s="359" t="s">
        <v>180</v>
      </c>
      <c r="D38" s="336"/>
      <c r="E38" s="218" t="s">
        <v>247</v>
      </c>
      <c r="F38" s="218" t="s">
        <v>248</v>
      </c>
      <c r="G38" s="476"/>
      <c r="H38" s="476"/>
      <c r="I38" s="220" t="s">
        <v>247</v>
      </c>
      <c r="J38" s="218" t="s">
        <v>248</v>
      </c>
      <c r="K38" s="476"/>
    </row>
    <row r="39" spans="1:11" ht="11.1" customHeight="1">
      <c r="A39" s="431" t="str">
        <f>'3.1'!D5</f>
        <v>Červenec</v>
      </c>
      <c r="B39" s="431"/>
      <c r="C39" s="163" t="s">
        <v>4</v>
      </c>
      <c r="D39" s="305">
        <v>74</v>
      </c>
      <c r="E39" s="301">
        <v>11837.609</v>
      </c>
      <c r="F39" s="301">
        <v>130055.93782000001</v>
      </c>
      <c r="G39" s="302">
        <f>E39/$E$44</f>
        <v>0.75096007815622356</v>
      </c>
      <c r="H39" s="302">
        <f>(E39-I39)/I39</f>
        <v>0.14225710240965542</v>
      </c>
      <c r="I39" s="305">
        <v>10363.349</v>
      </c>
      <c r="J39" s="301">
        <v>113146.28369</v>
      </c>
      <c r="K39" s="302">
        <f>I39/$I$44</f>
        <v>0.73090967437071086</v>
      </c>
    </row>
    <row r="40" spans="1:11" ht="11.1" customHeight="1">
      <c r="A40" s="432"/>
      <c r="B40" s="432"/>
      <c r="C40" s="153" t="s">
        <v>5</v>
      </c>
      <c r="D40" s="306">
        <v>262</v>
      </c>
      <c r="E40" s="129">
        <v>891.20399999999995</v>
      </c>
      <c r="F40" s="129">
        <v>9790.8537400000005</v>
      </c>
      <c r="G40" s="300">
        <f t="shared" ref="G40" si="9">E40/$E$44</f>
        <v>5.6536638901752798E-2</v>
      </c>
      <c r="H40" s="300">
        <f>(E40-I40)/I40</f>
        <v>-9.2988605415175729E-2</v>
      </c>
      <c r="I40" s="306">
        <v>982.572</v>
      </c>
      <c r="J40" s="129">
        <v>10727.404189999999</v>
      </c>
      <c r="K40" s="300">
        <f t="shared" ref="K40:K43" si="10">I40/$I$44</f>
        <v>6.9299160007617044E-2</v>
      </c>
    </row>
    <row r="41" spans="1:11" ht="11.1" customHeight="1">
      <c r="A41" s="432"/>
      <c r="B41" s="432"/>
      <c r="C41" s="153" t="s">
        <v>6</v>
      </c>
      <c r="D41" s="306">
        <v>10576</v>
      </c>
      <c r="E41" s="129">
        <v>908.81700000000001</v>
      </c>
      <c r="F41" s="129">
        <v>9985.3965200000002</v>
      </c>
      <c r="G41" s="300">
        <f>E41/$E$44</f>
        <v>5.7653981082641324E-2</v>
      </c>
      <c r="H41" s="300">
        <f t="shared" ref="H41:H43" si="11">(E41-I41)/I41</f>
        <v>5.0922778047595964E-2</v>
      </c>
      <c r="I41" s="306">
        <v>864.78</v>
      </c>
      <c r="J41" s="129">
        <v>9441.1183600000004</v>
      </c>
      <c r="K41" s="300">
        <f t="shared" si="10"/>
        <v>6.0991487230846256E-2</v>
      </c>
    </row>
    <row r="42" spans="1:11" ht="11.1" customHeight="1">
      <c r="A42" s="432"/>
      <c r="B42" s="432"/>
      <c r="C42" s="153" t="s">
        <v>7</v>
      </c>
      <c r="D42" s="306">
        <v>139624</v>
      </c>
      <c r="E42" s="129">
        <v>1920.4</v>
      </c>
      <c r="F42" s="129">
        <v>21099</v>
      </c>
      <c r="G42" s="300">
        <f>E42/$E$44</f>
        <v>0.12182728235838942</v>
      </c>
      <c r="H42" s="300">
        <f t="shared" si="11"/>
        <v>9.380873725579543E-2</v>
      </c>
      <c r="I42" s="306">
        <v>1755.7</v>
      </c>
      <c r="J42" s="129">
        <v>19168.900000000001</v>
      </c>
      <c r="K42" s="300">
        <f t="shared" si="10"/>
        <v>0.12382658494784428</v>
      </c>
    </row>
    <row r="43" spans="1:11" ht="11.1" customHeight="1">
      <c r="A43" s="432"/>
      <c r="B43" s="432"/>
      <c r="C43" s="153" t="s">
        <v>90</v>
      </c>
      <c r="D43" s="306">
        <v>11</v>
      </c>
      <c r="E43" s="129">
        <v>205.27</v>
      </c>
      <c r="F43" s="129">
        <v>2255.2337600000001</v>
      </c>
      <c r="G43" s="300">
        <f>E43/$E$44</f>
        <v>1.3022019500992812E-2</v>
      </c>
      <c r="H43" s="300">
        <f t="shared" si="11"/>
        <v>-3.3108964243825909E-2</v>
      </c>
      <c r="I43" s="306">
        <v>212.29900000000001</v>
      </c>
      <c r="J43" s="129">
        <v>2317.8571400000001</v>
      </c>
      <c r="K43" s="300">
        <f t="shared" si="10"/>
        <v>1.4973093442981372E-2</v>
      </c>
    </row>
    <row r="44" spans="1:11" ht="11.1" customHeight="1">
      <c r="A44" s="433"/>
      <c r="B44" s="433"/>
      <c r="C44" s="311" t="s">
        <v>0</v>
      </c>
      <c r="D44" s="314">
        <v>150547</v>
      </c>
      <c r="E44" s="312">
        <v>15763.300000000001</v>
      </c>
      <c r="F44" s="312">
        <v>173186.42184000002</v>
      </c>
      <c r="G44" s="313">
        <f>SUM(G39:G43)</f>
        <v>0.99999999999999989</v>
      </c>
      <c r="H44" s="313">
        <f>(E44-I44)/I44</f>
        <v>0.11175918807789137</v>
      </c>
      <c r="I44" s="314">
        <v>14178.700000000003</v>
      </c>
      <c r="J44" s="312">
        <v>154801.56338000001</v>
      </c>
      <c r="K44" s="313">
        <f>SUM(K39:K43)</f>
        <v>0.99999999999999978</v>
      </c>
    </row>
    <row r="45" spans="1:11" ht="11.1" customHeight="1">
      <c r="A45" s="431" t="str">
        <f>'3.1'!E5</f>
        <v>Srpen</v>
      </c>
      <c r="B45" s="431"/>
      <c r="C45" s="163" t="s">
        <v>4</v>
      </c>
      <c r="D45" s="305">
        <v>74</v>
      </c>
      <c r="E45" s="301">
        <v>8943.9269999999997</v>
      </c>
      <c r="F45" s="301">
        <v>98540.174329999994</v>
      </c>
      <c r="G45" s="302">
        <f>E45/$E$50</f>
        <v>0.68548971067254261</v>
      </c>
      <c r="H45" s="302">
        <f>(E45-I45)/I45</f>
        <v>0.14426930567208579</v>
      </c>
      <c r="I45" s="305">
        <v>7816.2780000000002</v>
      </c>
      <c r="J45" s="301">
        <v>85403.274210000003</v>
      </c>
      <c r="K45" s="302">
        <f>I45/$I$50</f>
        <v>0.6738461140566403</v>
      </c>
    </row>
    <row r="46" spans="1:11" ht="11.1" customHeight="1">
      <c r="A46" s="432"/>
      <c r="B46" s="432"/>
      <c r="C46" s="153" t="s">
        <v>5</v>
      </c>
      <c r="D46" s="306">
        <v>262</v>
      </c>
      <c r="E46" s="129">
        <v>927.01199999999994</v>
      </c>
      <c r="F46" s="129">
        <v>10213.858319999999</v>
      </c>
      <c r="G46" s="300">
        <f t="shared" ref="G46:G49" si="12">E46/$E$50</f>
        <v>7.1049013220923538E-2</v>
      </c>
      <c r="H46" s="300">
        <f>(E46-I46)/I46</f>
        <v>3.0205483589691213E-5</v>
      </c>
      <c r="I46" s="306">
        <v>926.98400000000004</v>
      </c>
      <c r="J46" s="129">
        <v>10128.05265</v>
      </c>
      <c r="K46" s="300">
        <f t="shared" ref="K46:K49" si="13">I46/$I$50</f>
        <v>7.991585844217422E-2</v>
      </c>
    </row>
    <row r="47" spans="1:11" ht="11.1" customHeight="1">
      <c r="A47" s="432"/>
      <c r="B47" s="432"/>
      <c r="C47" s="153" t="s">
        <v>6</v>
      </c>
      <c r="D47" s="306">
        <v>10570</v>
      </c>
      <c r="E47" s="129">
        <v>970.89200000000005</v>
      </c>
      <c r="F47" s="129">
        <v>10697.24562</v>
      </c>
      <c r="G47" s="300">
        <f t="shared" si="12"/>
        <v>7.4412109599540144E-2</v>
      </c>
      <c r="H47" s="300">
        <f t="shared" ref="H47:H49" si="14">(E47-I47)/I47</f>
        <v>8.9929769730933723E-2</v>
      </c>
      <c r="I47" s="306">
        <v>890.78399999999999</v>
      </c>
      <c r="J47" s="129">
        <v>9733.4433900000004</v>
      </c>
      <c r="K47" s="300">
        <f t="shared" si="13"/>
        <v>7.6795034268718462E-2</v>
      </c>
    </row>
    <row r="48" spans="1:11" ht="11.1" customHeight="1">
      <c r="A48" s="432"/>
      <c r="B48" s="432"/>
      <c r="C48" s="153" t="s">
        <v>7</v>
      </c>
      <c r="D48" s="306">
        <v>139508</v>
      </c>
      <c r="E48" s="129">
        <v>2008.7</v>
      </c>
      <c r="F48" s="129">
        <v>22131.4</v>
      </c>
      <c r="G48" s="300">
        <f t="shared" si="12"/>
        <v>0.15395286453343554</v>
      </c>
      <c r="H48" s="300">
        <f t="shared" si="14"/>
        <v>0.14377633526933151</v>
      </c>
      <c r="I48" s="306">
        <v>1756.2</v>
      </c>
      <c r="J48" s="129">
        <v>19188.7</v>
      </c>
      <c r="K48" s="300">
        <f t="shared" si="13"/>
        <v>0.15140307771886719</v>
      </c>
    </row>
    <row r="49" spans="1:11" ht="11.1" customHeight="1">
      <c r="A49" s="432"/>
      <c r="B49" s="432"/>
      <c r="C49" s="153" t="s">
        <v>90</v>
      </c>
      <c r="D49" s="306">
        <v>11</v>
      </c>
      <c r="E49" s="129">
        <v>196.96899999999999</v>
      </c>
      <c r="F49" s="129">
        <v>2170.1248099999998</v>
      </c>
      <c r="G49" s="300">
        <f t="shared" si="12"/>
        <v>1.5096301973558152E-2</v>
      </c>
      <c r="H49" s="300">
        <f t="shared" si="14"/>
        <v>-5.8708555153067547E-2</v>
      </c>
      <c r="I49" s="306">
        <v>209.25399999999999</v>
      </c>
      <c r="J49" s="129">
        <v>2286.37806</v>
      </c>
      <c r="K49" s="300">
        <f t="shared" si="13"/>
        <v>1.8039915513599722E-2</v>
      </c>
    </row>
    <row r="50" spans="1:11" ht="11.1" customHeight="1">
      <c r="A50" s="433"/>
      <c r="B50" s="433"/>
      <c r="C50" s="311" t="s">
        <v>0</v>
      </c>
      <c r="D50" s="314">
        <v>150425</v>
      </c>
      <c r="E50" s="312">
        <v>13047.5</v>
      </c>
      <c r="F50" s="312">
        <v>143752.80308000001</v>
      </c>
      <c r="G50" s="313">
        <f>SUM(G45:G49)</f>
        <v>1</v>
      </c>
      <c r="H50" s="313">
        <f t="shared" ref="H50" si="15">(E50-I50)/I50</f>
        <v>0.12483296693822991</v>
      </c>
      <c r="I50" s="314">
        <v>11599.500000000002</v>
      </c>
      <c r="J50" s="312">
        <v>126739.84831</v>
      </c>
      <c r="K50" s="313">
        <f>SUM(K45:K49)</f>
        <v>0.99999999999999989</v>
      </c>
    </row>
    <row r="51" spans="1:11" ht="11.1" customHeight="1">
      <c r="A51" s="431" t="str">
        <f>'3.1'!F5</f>
        <v>Září</v>
      </c>
      <c r="B51" s="431"/>
      <c r="C51" s="163" t="s">
        <v>4</v>
      </c>
      <c r="D51" s="305">
        <v>74</v>
      </c>
      <c r="E51" s="301">
        <v>10049.875</v>
      </c>
      <c r="F51" s="301">
        <v>111109.54501</v>
      </c>
      <c r="G51" s="302">
        <f>E51/$E$56</f>
        <v>0.62310122265760626</v>
      </c>
      <c r="H51" s="302">
        <f>(E51-I51)/I51</f>
        <v>0.16563698852256625</v>
      </c>
      <c r="I51" s="305">
        <v>8621.7880000000005</v>
      </c>
      <c r="J51" s="301">
        <v>94369.525339999993</v>
      </c>
      <c r="K51" s="302">
        <f>I51/$I$56</f>
        <v>0.58785185387206318</v>
      </c>
    </row>
    <row r="52" spans="1:11" ht="11.1" customHeight="1">
      <c r="A52" s="432"/>
      <c r="B52" s="432"/>
      <c r="C52" s="153" t="s">
        <v>5</v>
      </c>
      <c r="D52" s="306">
        <v>263</v>
      </c>
      <c r="E52" s="129">
        <v>1157.518</v>
      </c>
      <c r="F52" s="129">
        <v>12797.195809999999</v>
      </c>
      <c r="G52" s="300">
        <f t="shared" ref="G52:G55" si="16">E52/$E$56</f>
        <v>7.1767149446952047E-2</v>
      </c>
      <c r="H52" s="300">
        <f t="shared" ref="H52:H55" si="17">(E52-I52)/I52</f>
        <v>-2.0044124843167109E-2</v>
      </c>
      <c r="I52" s="306">
        <v>1181.194</v>
      </c>
      <c r="J52" s="129">
        <v>12929.205239999999</v>
      </c>
      <c r="K52" s="300">
        <f t="shared" ref="K52:K55" si="18">I52/$I$56</f>
        <v>8.0536320619639182E-2</v>
      </c>
    </row>
    <row r="53" spans="1:11" ht="11.1" customHeight="1">
      <c r="A53" s="432"/>
      <c r="B53" s="432"/>
      <c r="C53" s="153" t="s">
        <v>6</v>
      </c>
      <c r="D53" s="306">
        <v>10559</v>
      </c>
      <c r="E53" s="129">
        <v>1572.921</v>
      </c>
      <c r="F53" s="129">
        <v>17389.583200000001</v>
      </c>
      <c r="G53" s="300">
        <f t="shared" si="16"/>
        <v>9.7522506324091068E-2</v>
      </c>
      <c r="H53" s="300">
        <f t="shared" si="17"/>
        <v>-4.6629608819694857E-2</v>
      </c>
      <c r="I53" s="306">
        <v>1649.8530000000001</v>
      </c>
      <c r="J53" s="129">
        <v>18058.705450000001</v>
      </c>
      <c r="K53" s="300">
        <f t="shared" si="18"/>
        <v>0.11249048859312999</v>
      </c>
    </row>
    <row r="54" spans="1:11" ht="10.5" customHeight="1">
      <c r="A54" s="432"/>
      <c r="B54" s="432"/>
      <c r="C54" s="153" t="s">
        <v>7</v>
      </c>
      <c r="D54" s="306">
        <v>139425</v>
      </c>
      <c r="E54" s="129">
        <v>3146.4</v>
      </c>
      <c r="F54" s="129">
        <v>34786</v>
      </c>
      <c r="G54" s="300">
        <f t="shared" si="16"/>
        <v>0.19507960914637174</v>
      </c>
      <c r="H54" s="300">
        <f t="shared" si="17"/>
        <v>4.6532512888741093E-2</v>
      </c>
      <c r="I54" s="306">
        <v>3006.5</v>
      </c>
      <c r="J54" s="129">
        <v>32907.599999999999</v>
      </c>
      <c r="K54" s="300">
        <f t="shared" si="18"/>
        <v>0.20498956813440064</v>
      </c>
    </row>
    <row r="55" spans="1:11" ht="11.1" customHeight="1">
      <c r="A55" s="432"/>
      <c r="B55" s="432"/>
      <c r="C55" s="153" t="s">
        <v>90</v>
      </c>
      <c r="D55" s="306">
        <v>11</v>
      </c>
      <c r="E55" s="129">
        <v>202.08600000000001</v>
      </c>
      <c r="F55" s="129">
        <v>2234.2287299999998</v>
      </c>
      <c r="G55" s="300">
        <f t="shared" si="16"/>
        <v>1.2529512424978921E-2</v>
      </c>
      <c r="H55" s="300">
        <f t="shared" si="17"/>
        <v>-2.4987335054157594E-2</v>
      </c>
      <c r="I55" s="306">
        <v>207.26499999999999</v>
      </c>
      <c r="J55" s="129">
        <v>2268.6084599999999</v>
      </c>
      <c r="K55" s="300">
        <f t="shared" si="18"/>
        <v>1.4131768780767186E-2</v>
      </c>
    </row>
    <row r="56" spans="1:11" ht="11.1" customHeight="1">
      <c r="A56" s="433"/>
      <c r="B56" s="433"/>
      <c r="C56" s="311" t="s">
        <v>0</v>
      </c>
      <c r="D56" s="314">
        <v>150332</v>
      </c>
      <c r="E56" s="312">
        <v>16128.8</v>
      </c>
      <c r="F56" s="312">
        <v>178316.55275</v>
      </c>
      <c r="G56" s="313">
        <f>SUM(G51:G55)</f>
        <v>1</v>
      </c>
      <c r="H56" s="313">
        <f>(E56-I56)/I56</f>
        <v>9.9695907708671469E-2</v>
      </c>
      <c r="I56" s="314">
        <v>14666.599999999999</v>
      </c>
      <c r="J56" s="312">
        <v>160533.64448999998</v>
      </c>
      <c r="K56" s="313">
        <f>SUM(K51:K55)</f>
        <v>1.0000000000000002</v>
      </c>
    </row>
    <row r="57" spans="1:11" ht="11.1" customHeight="1">
      <c r="A57" s="501" t="str">
        <f>'3.1'!G5</f>
        <v>III. čtvrtletí</v>
      </c>
      <c r="B57" s="431"/>
      <c r="C57" s="163" t="s">
        <v>4</v>
      </c>
      <c r="D57" s="305">
        <f>D51</f>
        <v>74</v>
      </c>
      <c r="E57" s="301">
        <f>E39+E45+E51</f>
        <v>30831.411</v>
      </c>
      <c r="F57" s="301">
        <f>F39+F45+F51</f>
        <v>339705.65716</v>
      </c>
      <c r="G57" s="302">
        <f>E57/$E$62</f>
        <v>0.68606331609538151</v>
      </c>
      <c r="H57" s="302">
        <f>(E57-I57)/I57</f>
        <v>0.15036504602462217</v>
      </c>
      <c r="I57" s="305">
        <f>I39+I45+I51</f>
        <v>26801.415000000001</v>
      </c>
      <c r="J57" s="301">
        <f>J39+J45+J51</f>
        <v>292919.08324000001</v>
      </c>
      <c r="K57" s="302">
        <f>I57/$I$62</f>
        <v>0.66266652326133391</v>
      </c>
    </row>
    <row r="58" spans="1:11" ht="11.1" customHeight="1">
      <c r="A58" s="432"/>
      <c r="B58" s="432"/>
      <c r="C58" s="153" t="s">
        <v>5</v>
      </c>
      <c r="D58" s="306">
        <f>D52</f>
        <v>263</v>
      </c>
      <c r="E58" s="129">
        <f t="shared" ref="E58:F59" si="19">E40+E46+E52</f>
        <v>2975.7339999999999</v>
      </c>
      <c r="F58" s="129">
        <f t="shared" si="19"/>
        <v>32801.907869999995</v>
      </c>
      <c r="G58" s="300">
        <f t="shared" ref="G58:G61" si="20">E58/$E$62</f>
        <v>6.6216299210495877E-2</v>
      </c>
      <c r="H58" s="300">
        <f t="shared" ref="H58:H61" si="21">(E58-I58)/I58</f>
        <v>-3.7212974197201348E-2</v>
      </c>
      <c r="I58" s="306">
        <f t="shared" ref="I58:J58" si="22">I40+I46+I52</f>
        <v>3090.75</v>
      </c>
      <c r="J58" s="129">
        <f t="shared" si="22"/>
        <v>33784.662079999995</v>
      </c>
      <c r="K58" s="300">
        <f t="shared" ref="K58:K61" si="23">I58/$I$62</f>
        <v>7.6418971042012812E-2</v>
      </c>
    </row>
    <row r="59" spans="1:11" ht="11.1" customHeight="1">
      <c r="A59" s="432"/>
      <c r="B59" s="432"/>
      <c r="C59" s="153" t="s">
        <v>6</v>
      </c>
      <c r="D59" s="306">
        <f>D53</f>
        <v>10559</v>
      </c>
      <c r="E59" s="129">
        <f>E41+E47+E53</f>
        <v>3452.63</v>
      </c>
      <c r="F59" s="129">
        <f t="shared" si="19"/>
        <v>38072.225340000005</v>
      </c>
      <c r="G59" s="300">
        <f t="shared" si="20"/>
        <v>7.6828231670953914E-2</v>
      </c>
      <c r="H59" s="300">
        <f t="shared" si="21"/>
        <v>1.3864087716717275E-2</v>
      </c>
      <c r="I59" s="306">
        <f>I41+I47+I53</f>
        <v>3405.4169999999999</v>
      </c>
      <c r="J59" s="129">
        <f t="shared" ref="J59" si="24">J41+J47+J53</f>
        <v>37233.267200000002</v>
      </c>
      <c r="K59" s="300">
        <f t="shared" si="23"/>
        <v>8.4199130666983132E-2</v>
      </c>
    </row>
    <row r="60" spans="1:11" ht="11.1" customHeight="1">
      <c r="A60" s="432"/>
      <c r="B60" s="432"/>
      <c r="C60" s="153" t="s">
        <v>7</v>
      </c>
      <c r="D60" s="306">
        <f>D54</f>
        <v>139425</v>
      </c>
      <c r="E60" s="129">
        <f t="shared" ref="E60:F61" si="25">E42+E48+E54</f>
        <v>7075.5</v>
      </c>
      <c r="F60" s="129">
        <f t="shared" si="25"/>
        <v>78016.399999999994</v>
      </c>
      <c r="G60" s="300">
        <f t="shared" si="20"/>
        <v>0.15744465905348515</v>
      </c>
      <c r="H60" s="300">
        <f t="shared" si="21"/>
        <v>8.5465758468335845E-2</v>
      </c>
      <c r="I60" s="306">
        <f t="shared" ref="I60:J60" si="26">I42+I48+I54</f>
        <v>6518.4</v>
      </c>
      <c r="J60" s="129">
        <f t="shared" si="26"/>
        <v>71265.200000000012</v>
      </c>
      <c r="K60" s="300">
        <f t="shared" si="23"/>
        <v>0.16116781390932824</v>
      </c>
    </row>
    <row r="61" spans="1:11" ht="11.1" customHeight="1">
      <c r="A61" s="432"/>
      <c r="B61" s="432"/>
      <c r="C61" s="153" t="s">
        <v>90</v>
      </c>
      <c r="D61" s="306">
        <f>D55</f>
        <v>11</v>
      </c>
      <c r="E61" s="129">
        <f>E43+E49+E55</f>
        <v>604.32500000000005</v>
      </c>
      <c r="F61" s="129">
        <f t="shared" si="25"/>
        <v>6659.5873000000001</v>
      </c>
      <c r="G61" s="300">
        <f t="shared" si="20"/>
        <v>1.3447493969683757E-2</v>
      </c>
      <c r="H61" s="300">
        <f t="shared" si="21"/>
        <v>-3.895085700472941E-2</v>
      </c>
      <c r="I61" s="306">
        <f>I43+I49+I55</f>
        <v>628.81799999999998</v>
      </c>
      <c r="J61" s="129">
        <f t="shared" ref="J61" si="27">J43+J49+J55</f>
        <v>6872.8436600000005</v>
      </c>
      <c r="K61" s="300">
        <f t="shared" si="23"/>
        <v>1.5547561120341797E-2</v>
      </c>
    </row>
    <row r="62" spans="1:11" ht="11.1" customHeight="1">
      <c r="A62" s="433"/>
      <c r="B62" s="433"/>
      <c r="C62" s="311" t="s">
        <v>0</v>
      </c>
      <c r="D62" s="314">
        <f>SUM(D57:D61)</f>
        <v>150332</v>
      </c>
      <c r="E62" s="312">
        <f>SUM(E57:E61)</f>
        <v>44939.599999999991</v>
      </c>
      <c r="F62" s="312">
        <f>SUM(F57:F61)</f>
        <v>495255.77766999998</v>
      </c>
      <c r="G62" s="313">
        <f>SUM(G57:G61)</f>
        <v>1.0000000000000002</v>
      </c>
      <c r="H62" s="313">
        <f>(E62-I62)/I62</f>
        <v>0.11113418783131547</v>
      </c>
      <c r="I62" s="314">
        <f>SUM(I57:I61)</f>
        <v>40444.800000000003</v>
      </c>
      <c r="J62" s="312">
        <f>SUM(J57:J61)</f>
        <v>442075.05618000001</v>
      </c>
      <c r="K62" s="313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5" t="str">
        <f>"6.8 Spotřeba zemního plynu a teplota ovzduší podle krajů: "&amp;LOWER(A3)</f>
        <v>6.8 Spotřeba zemního plynu a teplota ovzduší podle krajů: červenec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20.100000000000001" customHeight="1">
      <c r="A3" s="472" t="str">
        <f>'3.1'!D5</f>
        <v>Červenec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1">
        <f>'3.1'!A4</f>
        <v>2025</v>
      </c>
      <c r="C4" s="528" t="s">
        <v>59</v>
      </c>
      <c r="D4" s="529"/>
      <c r="E4" s="529"/>
      <c r="F4" s="530"/>
      <c r="G4" s="531" t="s">
        <v>182</v>
      </c>
      <c r="H4" s="531"/>
      <c r="I4" s="531"/>
      <c r="J4" s="531"/>
      <c r="K4" s="531"/>
    </row>
    <row r="5" spans="1:11" ht="49.5" customHeight="1">
      <c r="A5" s="271"/>
      <c r="B5" s="490" t="s">
        <v>181</v>
      </c>
      <c r="C5" s="338"/>
      <c r="D5" s="339"/>
      <c r="E5" s="490" t="s">
        <v>265</v>
      </c>
      <c r="F5" s="510" t="s">
        <v>268</v>
      </c>
      <c r="G5" s="362" t="s">
        <v>61</v>
      </c>
      <c r="H5" s="362" t="s">
        <v>170</v>
      </c>
      <c r="I5" s="362" t="s">
        <v>171</v>
      </c>
      <c r="J5" s="362" t="s">
        <v>270</v>
      </c>
      <c r="K5" s="362" t="s">
        <v>271</v>
      </c>
    </row>
    <row r="6" spans="1:11" ht="15" customHeight="1">
      <c r="A6" s="218" t="s">
        <v>183</v>
      </c>
      <c r="B6" s="476"/>
      <c r="C6" s="220" t="s">
        <v>247</v>
      </c>
      <c r="D6" s="218" t="s">
        <v>248</v>
      </c>
      <c r="E6" s="476"/>
      <c r="F6" s="511"/>
      <c r="G6" s="218" t="s">
        <v>218</v>
      </c>
      <c r="H6" s="218" t="s">
        <v>218</v>
      </c>
      <c r="I6" s="218" t="s">
        <v>218</v>
      </c>
      <c r="J6" s="218" t="s">
        <v>218</v>
      </c>
      <c r="K6" s="218" t="s">
        <v>218</v>
      </c>
    </row>
    <row r="7" spans="1:11" ht="14.1" customHeight="1">
      <c r="A7" s="153" t="s">
        <v>8</v>
      </c>
      <c r="B7" s="129">
        <f>'6.1'!D14</f>
        <v>101698</v>
      </c>
      <c r="C7" s="306">
        <f>'6.1'!E14</f>
        <v>9845.691988999999</v>
      </c>
      <c r="D7" s="129">
        <f>'6.1'!F14</f>
        <v>108329.345117</v>
      </c>
      <c r="E7" s="300">
        <f>D7/$D$21</f>
        <v>3.3435996388424503E-2</v>
      </c>
      <c r="F7" s="325">
        <f>'6.1'!H14</f>
        <v>0.29568674648341864</v>
      </c>
      <c r="G7" s="319">
        <v>17.429032258064513</v>
      </c>
      <c r="H7" s="320">
        <v>23.5</v>
      </c>
      <c r="I7" s="320">
        <v>12.3</v>
      </c>
      <c r="J7" s="320">
        <v>17.199999999999996</v>
      </c>
      <c r="K7" s="319">
        <v>0.22903225806451744</v>
      </c>
    </row>
    <row r="8" spans="1:11" ht="14.1" customHeight="1">
      <c r="A8" s="153" t="s">
        <v>9</v>
      </c>
      <c r="B8" s="129">
        <f>'6.1'!D44</f>
        <v>368048</v>
      </c>
      <c r="C8" s="306">
        <f>'6.1'!E44</f>
        <v>25569.899999999998</v>
      </c>
      <c r="D8" s="129">
        <f>'6.1'!F44</f>
        <v>280929.31732999999</v>
      </c>
      <c r="E8" s="300">
        <f t="shared" ref="E8:E20" si="0">D8/$D$21</f>
        <v>8.6709207274385941E-2</v>
      </c>
      <c r="F8" s="325">
        <f>'6.1'!H44</f>
        <v>6.447664761397269E-2</v>
      </c>
      <c r="G8" s="319">
        <v>19.654838709677414</v>
      </c>
      <c r="H8" s="320">
        <v>25.5</v>
      </c>
      <c r="I8" s="320">
        <v>15</v>
      </c>
      <c r="J8" s="320">
        <v>18.899999999999988</v>
      </c>
      <c r="K8" s="319">
        <v>0.75483870967742561</v>
      </c>
    </row>
    <row r="9" spans="1:11" ht="14.1" customHeight="1">
      <c r="A9" s="153" t="s">
        <v>10</v>
      </c>
      <c r="B9" s="129">
        <f>'6.2'!D14</f>
        <v>80916</v>
      </c>
      <c r="C9" s="306">
        <f>'6.2'!E14</f>
        <v>10653.1</v>
      </c>
      <c r="D9" s="129">
        <f>'6.2'!F14</f>
        <v>117042.1149</v>
      </c>
      <c r="E9" s="300">
        <f t="shared" si="0"/>
        <v>3.6125204365108243E-2</v>
      </c>
      <c r="F9" s="325">
        <f>'6.2'!H14</f>
        <v>0.24089691322073389</v>
      </c>
      <c r="G9" s="319">
        <v>16.361290322580647</v>
      </c>
      <c r="H9" s="320">
        <v>24.8</v>
      </c>
      <c r="I9" s="320">
        <v>12</v>
      </c>
      <c r="J9" s="320">
        <v>16.5</v>
      </c>
      <c r="K9" s="319">
        <v>-0.13870967741935303</v>
      </c>
    </row>
    <row r="10" spans="1:11" ht="14.1" customHeight="1">
      <c r="A10" s="153" t="s">
        <v>89</v>
      </c>
      <c r="B10" s="129">
        <f>'6.2'!D44</f>
        <v>113499</v>
      </c>
      <c r="C10" s="306">
        <f>'6.2'!E44</f>
        <v>9476.5</v>
      </c>
      <c r="D10" s="129">
        <f>'6.2'!F44</f>
        <v>104115.40404000001</v>
      </c>
      <c r="E10" s="300">
        <f t="shared" si="0"/>
        <v>3.2135357872799482E-2</v>
      </c>
      <c r="F10" s="325">
        <f>'6.2'!H44</f>
        <v>5.1904228041159343E-2</v>
      </c>
      <c r="G10" s="319">
        <v>17.703225806451616</v>
      </c>
      <c r="H10" s="320">
        <v>23.2</v>
      </c>
      <c r="I10" s="320">
        <v>13.6</v>
      </c>
      <c r="J10" s="320">
        <v>16.899999999999991</v>
      </c>
      <c r="K10" s="319">
        <v>0.80322580645162489</v>
      </c>
    </row>
    <row r="11" spans="1:11" ht="14.1" customHeight="1">
      <c r="A11" s="153" t="s">
        <v>11</v>
      </c>
      <c r="B11" s="129">
        <f>'6.3'!D14</f>
        <v>89615</v>
      </c>
      <c r="C11" s="306">
        <f>'6.3'!E14</f>
        <v>8829.9889999999996</v>
      </c>
      <c r="D11" s="129">
        <f>'6.3'!F14</f>
        <v>97008.896479999981</v>
      </c>
      <c r="E11" s="300">
        <f t="shared" si="0"/>
        <v>2.9941924866684285E-2</v>
      </c>
      <c r="F11" s="325">
        <f>'6.3'!H14</f>
        <v>7.6591995632176835E-2</v>
      </c>
      <c r="G11" s="319">
        <v>17.267741935483869</v>
      </c>
      <c r="H11" s="320">
        <v>23.8</v>
      </c>
      <c r="I11" s="320">
        <v>13.6</v>
      </c>
      <c r="J11" s="320">
        <v>16.600000000000009</v>
      </c>
      <c r="K11" s="319">
        <v>0.66774193548386052</v>
      </c>
    </row>
    <row r="12" spans="1:11" ht="14.1" customHeight="1">
      <c r="A12" s="153" t="s">
        <v>12</v>
      </c>
      <c r="B12" s="129">
        <f>'6.3'!D44</f>
        <v>363313</v>
      </c>
      <c r="C12" s="306">
        <f>'6.3'!E44</f>
        <v>35992.459000000003</v>
      </c>
      <c r="D12" s="129">
        <f>'6.3'!F44</f>
        <v>395293.2771500001</v>
      </c>
      <c r="E12" s="300">
        <f t="shared" si="0"/>
        <v>0.12200779551358848</v>
      </c>
      <c r="F12" s="325">
        <f>'6.3'!H44</f>
        <v>1.0474868000823489E-2</v>
      </c>
      <c r="G12" s="319">
        <v>18.325806451612905</v>
      </c>
      <c r="H12" s="320">
        <v>24.7</v>
      </c>
      <c r="I12" s="320">
        <v>14.1</v>
      </c>
      <c r="J12" s="320">
        <v>17.199999999999996</v>
      </c>
      <c r="K12" s="319">
        <v>1.1258064516129096</v>
      </c>
    </row>
    <row r="13" spans="1:11" ht="14.1" customHeight="1">
      <c r="A13" s="153" t="s">
        <v>13</v>
      </c>
      <c r="B13" s="129">
        <f>'6.4'!D14</f>
        <v>179967</v>
      </c>
      <c r="C13" s="306">
        <f>'6.4'!E14</f>
        <v>18143.699999999997</v>
      </c>
      <c r="D13" s="129">
        <f>'6.4'!F14</f>
        <v>199338.27625000002</v>
      </c>
      <c r="E13" s="300">
        <f t="shared" si="0"/>
        <v>6.1526023974124669E-2</v>
      </c>
      <c r="F13" s="325">
        <f>'6.4'!H14</f>
        <v>0.11639798178685695</v>
      </c>
      <c r="G13" s="319">
        <v>18.387096774193548</v>
      </c>
      <c r="H13" s="320">
        <v>23.5</v>
      </c>
      <c r="I13" s="320">
        <v>13.8</v>
      </c>
      <c r="J13" s="320">
        <v>16.699999999999996</v>
      </c>
      <c r="K13" s="319">
        <v>1.6870967741935523</v>
      </c>
    </row>
    <row r="14" spans="1:11" ht="14.1" customHeight="1">
      <c r="A14" s="153" t="s">
        <v>14</v>
      </c>
      <c r="B14" s="129">
        <f>'6.4'!D44</f>
        <v>131529</v>
      </c>
      <c r="C14" s="306">
        <f>'6.4'!E44</f>
        <v>11921.272999999999</v>
      </c>
      <c r="D14" s="129">
        <f>'6.4'!F44</f>
        <v>130973.895748</v>
      </c>
      <c r="E14" s="300">
        <f t="shared" si="0"/>
        <v>4.0425267045399928E-2</v>
      </c>
      <c r="F14" s="325">
        <f>'6.4'!H44</f>
        <v>7.6442070665570933E-2</v>
      </c>
      <c r="G14" s="319">
        <v>18.245161290322585</v>
      </c>
      <c r="H14" s="320">
        <v>23.5</v>
      </c>
      <c r="I14" s="320">
        <v>13.5</v>
      </c>
      <c r="J14" s="320">
        <v>17.7</v>
      </c>
      <c r="K14" s="319">
        <v>0.54516129032258576</v>
      </c>
    </row>
    <row r="15" spans="1:11" ht="14.1" customHeight="1">
      <c r="A15" s="153" t="s">
        <v>15</v>
      </c>
      <c r="B15" s="129">
        <f>'6.5'!D14</f>
        <v>154032</v>
      </c>
      <c r="C15" s="306">
        <f>'6.5'!E14</f>
        <v>12970.5</v>
      </c>
      <c r="D15" s="129">
        <f>'6.5'!F14</f>
        <v>142502.98478</v>
      </c>
      <c r="E15" s="300">
        <f t="shared" si="0"/>
        <v>4.3983735702433122E-2</v>
      </c>
      <c r="F15" s="325">
        <f>'6.5'!H14</f>
        <v>0.10338403429971427</v>
      </c>
      <c r="G15" s="319">
        <v>18.08064516129032</v>
      </c>
      <c r="H15" s="320">
        <v>25.6</v>
      </c>
      <c r="I15" s="320">
        <v>13.6</v>
      </c>
      <c r="J15" s="320">
        <v>17.5</v>
      </c>
      <c r="K15" s="319">
        <v>0.58064516129032029</v>
      </c>
    </row>
    <row r="16" spans="1:11" ht="14.1" customHeight="1">
      <c r="A16" s="153" t="s">
        <v>1</v>
      </c>
      <c r="B16" s="129">
        <f>'6.5'!D44</f>
        <v>370890</v>
      </c>
      <c r="C16" s="306">
        <f>'6.5'!E44</f>
        <v>15261.285950955002</v>
      </c>
      <c r="D16" s="129">
        <f>'6.5'!F44</f>
        <v>167294.28098744201</v>
      </c>
      <c r="E16" s="300">
        <f t="shared" si="0"/>
        <v>5.1635602235560636E-2</v>
      </c>
      <c r="F16" s="325">
        <f>'6.5'!H44</f>
        <v>-0.13205733250562021</v>
      </c>
      <c r="G16" s="319">
        <v>20.348387096774193</v>
      </c>
      <c r="H16" s="320">
        <v>27.9</v>
      </c>
      <c r="I16" s="320">
        <v>15.4</v>
      </c>
      <c r="J16" s="320">
        <v>18.7</v>
      </c>
      <c r="K16" s="319">
        <v>1.6483870967741936</v>
      </c>
    </row>
    <row r="17" spans="1:16" ht="14.1" customHeight="1">
      <c r="A17" s="153" t="s">
        <v>16</v>
      </c>
      <c r="B17" s="129">
        <f>'6.6'!D14</f>
        <v>275732</v>
      </c>
      <c r="C17" s="306">
        <f>'6.6'!E14</f>
        <v>37299.213812317998</v>
      </c>
      <c r="D17" s="129">
        <f>'6.6'!F14</f>
        <v>409711.89231756201</v>
      </c>
      <c r="E17" s="300">
        <f t="shared" si="0"/>
        <v>0.1264581202538331</v>
      </c>
      <c r="F17" s="325">
        <f>'6.6'!H14</f>
        <v>-3.2053112798084517E-2</v>
      </c>
      <c r="G17" s="319">
        <v>18.780645161290323</v>
      </c>
      <c r="H17" s="320">
        <v>25.5</v>
      </c>
      <c r="I17" s="320">
        <v>14.1</v>
      </c>
      <c r="J17" s="320">
        <v>18.3</v>
      </c>
      <c r="K17" s="319">
        <v>0.48064516129032242</v>
      </c>
      <c r="L17" s="93"/>
      <c r="N17" s="93"/>
      <c r="O17" s="93"/>
      <c r="P17" s="93"/>
    </row>
    <row r="18" spans="1:16" ht="14.1" customHeight="1">
      <c r="A18" s="153" t="s">
        <v>17</v>
      </c>
      <c r="B18" s="129">
        <f>'6.6'!D44</f>
        <v>213829</v>
      </c>
      <c r="C18" s="306">
        <f>'6.6'!E44</f>
        <v>74042.599000000002</v>
      </c>
      <c r="D18" s="129">
        <f>'6.6'!F44</f>
        <v>813871.34034699993</v>
      </c>
      <c r="E18" s="300">
        <f t="shared" si="0"/>
        <v>0.25120247119645939</v>
      </c>
      <c r="F18" s="325">
        <f>'6.6'!H44</f>
        <v>0.23709729752849878</v>
      </c>
      <c r="G18" s="319">
        <v>18.077419354838717</v>
      </c>
      <c r="H18" s="320">
        <v>25.7</v>
      </c>
      <c r="I18" s="320">
        <v>14</v>
      </c>
      <c r="J18" s="320">
        <v>18.5</v>
      </c>
      <c r="K18" s="319">
        <v>-0.42258064516128258</v>
      </c>
      <c r="L18" s="93"/>
      <c r="N18" s="93"/>
      <c r="O18" s="93"/>
      <c r="P18" s="93"/>
    </row>
    <row r="19" spans="1:16" ht="14.1" customHeight="1">
      <c r="A19" s="153" t="s">
        <v>18</v>
      </c>
      <c r="B19" s="129">
        <f>'6.7'!D14</f>
        <v>116513</v>
      </c>
      <c r="C19" s="306">
        <f>'6.7'!E14</f>
        <v>9128.0740120000009</v>
      </c>
      <c r="D19" s="129">
        <f>'6.7'!F14</f>
        <v>100304.359692</v>
      </c>
      <c r="E19" s="300">
        <f t="shared" si="0"/>
        <v>3.0959073968209933E-2</v>
      </c>
      <c r="F19" s="325">
        <f>'6.7'!H14</f>
        <v>6.5852557740207249E-2</v>
      </c>
      <c r="G19" s="319">
        <v>17.819354838709675</v>
      </c>
      <c r="H19" s="320">
        <v>23.7</v>
      </c>
      <c r="I19" s="320">
        <v>12.6</v>
      </c>
      <c r="J19" s="320">
        <v>17</v>
      </c>
      <c r="K19" s="319">
        <v>0.81935483870967474</v>
      </c>
      <c r="L19" s="93"/>
      <c r="N19" s="93"/>
      <c r="O19" s="93"/>
      <c r="P19" s="93"/>
    </row>
    <row r="20" spans="1:16" ht="14.1" customHeight="1">
      <c r="A20" s="203" t="s">
        <v>19</v>
      </c>
      <c r="B20" s="303">
        <f>'6.7'!D44</f>
        <v>150547</v>
      </c>
      <c r="C20" s="307">
        <f>'6.7'!E44</f>
        <v>15763.300000000001</v>
      </c>
      <c r="D20" s="303">
        <f>'6.7'!F44</f>
        <v>173186.42184000002</v>
      </c>
      <c r="E20" s="304">
        <f t="shared" si="0"/>
        <v>5.3454219342988364E-2</v>
      </c>
      <c r="F20" s="326">
        <f>'6.7'!H44</f>
        <v>0.11175918807789137</v>
      </c>
      <c r="G20" s="321">
        <v>17.86129032258064</v>
      </c>
      <c r="H20" s="322">
        <v>25.1</v>
      </c>
      <c r="I20" s="322">
        <v>13.7</v>
      </c>
      <c r="J20" s="322">
        <v>18.2</v>
      </c>
      <c r="K20" s="321">
        <v>-0.33870967741935942</v>
      </c>
      <c r="L20" s="93"/>
    </row>
    <row r="21" spans="1:16" ht="14.1" customHeight="1">
      <c r="A21" s="153" t="s">
        <v>0</v>
      </c>
      <c r="B21" s="155">
        <f>SUM(B7:B20)</f>
        <v>2710128</v>
      </c>
      <c r="C21" s="306">
        <f>SUM(C7:C20)</f>
        <v>294897.58576427295</v>
      </c>
      <c r="D21" s="129">
        <f>SUM(D7:D20)</f>
        <v>3239901.8069790038</v>
      </c>
      <c r="E21" s="360">
        <f>SUM(E7:E20)</f>
        <v>1</v>
      </c>
      <c r="F21" s="325"/>
      <c r="G21" s="255">
        <v>18.161290322580648</v>
      </c>
      <c r="H21" s="255">
        <v>24.2</v>
      </c>
      <c r="I21" s="255">
        <v>13.5</v>
      </c>
      <c r="J21" s="255">
        <v>18.674193548387095</v>
      </c>
      <c r="K21" s="255">
        <v>-0.51290322580644698</v>
      </c>
    </row>
    <row r="22" spans="1:16" ht="14.1" customHeight="1">
      <c r="A22" s="203" t="s">
        <v>91</v>
      </c>
      <c r="B22" s="361"/>
      <c r="C22" s="307">
        <f>'5.1'!E13</f>
        <v>-2.5380758350001145</v>
      </c>
      <c r="D22" s="303">
        <f>'5.1'!F13</f>
        <v>56.396474999994552</v>
      </c>
      <c r="E22" s="361"/>
      <c r="F22" s="326">
        <f>'5.1'!H13</f>
        <v>-0.99738552435910177</v>
      </c>
      <c r="G22" s="261">
        <v>18.161290322580648</v>
      </c>
      <c r="H22" s="261">
        <v>24.2</v>
      </c>
      <c r="I22" s="261">
        <v>13.5</v>
      </c>
      <c r="J22" s="261">
        <v>18.674193548387095</v>
      </c>
      <c r="K22" s="261">
        <v>-0.51290322580644698</v>
      </c>
    </row>
    <row r="23" spans="1:16" ht="14.1" customHeight="1">
      <c r="A23" s="203" t="s">
        <v>54</v>
      </c>
      <c r="B23" s="160">
        <f>B21+B22</f>
        <v>2710128</v>
      </c>
      <c r="C23" s="307">
        <f>C21+C22</f>
        <v>294895.04768843798</v>
      </c>
      <c r="D23" s="303">
        <f>D21+D22</f>
        <v>3239958.2034540037</v>
      </c>
      <c r="E23" s="361"/>
      <c r="F23" s="326">
        <f>'5.1'!H14</f>
        <v>9.2776880249569343E-2</v>
      </c>
      <c r="G23" s="261">
        <v>18.161290322580648</v>
      </c>
      <c r="H23" s="261">
        <v>24.2</v>
      </c>
      <c r="I23" s="261">
        <v>13.5</v>
      </c>
      <c r="J23" s="261">
        <v>18.674193548387095</v>
      </c>
      <c r="K23" s="261">
        <v>-0.51290322580644698</v>
      </c>
    </row>
    <row r="24" spans="1:16" ht="15" customHeight="1">
      <c r="A24" s="101"/>
      <c r="B24" s="94"/>
      <c r="C24" s="513" t="s">
        <v>230</v>
      </c>
      <c r="D24" s="513"/>
      <c r="E24" s="513"/>
      <c r="F24" s="513"/>
      <c r="G24" s="516" t="s">
        <v>228</v>
      </c>
      <c r="H24" s="516"/>
      <c r="I24" s="516"/>
      <c r="J24" s="516"/>
      <c r="K24" s="516"/>
    </row>
    <row r="25" spans="1:16" ht="15" customHeight="1">
      <c r="A25" s="94"/>
      <c r="B25" s="94"/>
      <c r="C25" s="513"/>
      <c r="D25" s="513"/>
      <c r="E25" s="513"/>
      <c r="F25" s="513"/>
      <c r="G25" s="516" t="s">
        <v>229</v>
      </c>
      <c r="H25" s="516"/>
      <c r="I25" s="516"/>
      <c r="J25" s="516"/>
      <c r="K25" s="51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77" t="s">
        <v>243</v>
      </c>
      <c r="B29" s="477"/>
      <c r="C29" s="477"/>
      <c r="D29" s="477"/>
      <c r="E29" s="477"/>
      <c r="F29" s="477" t="s">
        <v>60</v>
      </c>
      <c r="G29" s="477"/>
      <c r="H29" s="477"/>
      <c r="I29" s="477"/>
      <c r="J29" s="477"/>
      <c r="K29" s="477"/>
    </row>
    <row r="30" spans="1:16" ht="15" customHeight="1">
      <c r="A30" s="120"/>
      <c r="B30" s="514"/>
      <c r="C30" s="514"/>
      <c r="D30" s="120"/>
      <c r="E30" s="120"/>
      <c r="F30" s="120"/>
      <c r="G30" s="120"/>
      <c r="H30" s="514"/>
      <c r="I30" s="51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5" t="str">
        <f>"6.9 Spotřeba zemního plynu a teplota ovzduší podle krajů: "&amp;LOWER(A3)</f>
        <v>6.9 Spotřeba zemního plynu a teplota ovzduší podle krajů: srpen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20.100000000000001" customHeight="1">
      <c r="A3" s="472" t="str">
        <f>'3.1'!E5</f>
        <v>Srpen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1">
        <f>'3.1'!A4</f>
        <v>2025</v>
      </c>
      <c r="C4" s="528" t="s">
        <v>59</v>
      </c>
      <c r="D4" s="529"/>
      <c r="E4" s="529"/>
      <c r="F4" s="530"/>
      <c r="G4" s="531" t="s">
        <v>182</v>
      </c>
      <c r="H4" s="531"/>
      <c r="I4" s="531"/>
      <c r="J4" s="531"/>
      <c r="K4" s="531"/>
    </row>
    <row r="5" spans="1:11" ht="49.5" customHeight="1">
      <c r="A5" s="271"/>
      <c r="B5" s="490" t="s">
        <v>181</v>
      </c>
      <c r="C5" s="338"/>
      <c r="D5" s="339"/>
      <c r="E5" s="490" t="s">
        <v>265</v>
      </c>
      <c r="F5" s="510" t="s">
        <v>268</v>
      </c>
      <c r="G5" s="362" t="s">
        <v>61</v>
      </c>
      <c r="H5" s="362" t="s">
        <v>170</v>
      </c>
      <c r="I5" s="362" t="s">
        <v>171</v>
      </c>
      <c r="J5" s="362" t="s">
        <v>270</v>
      </c>
      <c r="K5" s="362" t="s">
        <v>271</v>
      </c>
    </row>
    <row r="6" spans="1:11" ht="15" customHeight="1">
      <c r="A6" s="218" t="s">
        <v>183</v>
      </c>
      <c r="B6" s="476"/>
      <c r="C6" s="220" t="s">
        <v>247</v>
      </c>
      <c r="D6" s="218" t="s">
        <v>248</v>
      </c>
      <c r="E6" s="476"/>
      <c r="F6" s="511"/>
      <c r="G6" s="218" t="s">
        <v>218</v>
      </c>
      <c r="H6" s="218" t="s">
        <v>218</v>
      </c>
      <c r="I6" s="218" t="s">
        <v>218</v>
      </c>
      <c r="J6" s="218" t="s">
        <v>218</v>
      </c>
      <c r="K6" s="218" t="s">
        <v>218</v>
      </c>
    </row>
    <row r="7" spans="1:11" ht="14.1" customHeight="1">
      <c r="A7" s="153" t="s">
        <v>8</v>
      </c>
      <c r="B7" s="129">
        <f>'6.1'!D20</f>
        <v>101678</v>
      </c>
      <c r="C7" s="306">
        <f>'6.1'!E20</f>
        <v>11401.884930999999</v>
      </c>
      <c r="D7" s="129">
        <f>'6.1'!F20</f>
        <v>125834.106589</v>
      </c>
      <c r="E7" s="300">
        <f>D7/$D$21</f>
        <v>4.250188137748126E-2</v>
      </c>
      <c r="F7" s="325">
        <f>'6.1'!H20</f>
        <v>0.3810840213124474</v>
      </c>
      <c r="G7" s="319">
        <v>17.42258064516129</v>
      </c>
      <c r="H7" s="320">
        <v>23.9</v>
      </c>
      <c r="I7" s="320">
        <v>10.8</v>
      </c>
      <c r="J7" s="320">
        <v>16.899999999999991</v>
      </c>
      <c r="K7" s="319">
        <v>0.52258064516129821</v>
      </c>
    </row>
    <row r="8" spans="1:11" ht="14.1" customHeight="1">
      <c r="A8" s="153" t="s">
        <v>9</v>
      </c>
      <c r="B8" s="129">
        <f>'6.1'!D50</f>
        <v>367753</v>
      </c>
      <c r="C8" s="306">
        <f>'6.1'!E50</f>
        <v>25344</v>
      </c>
      <c r="D8" s="129">
        <f>'6.1'!F50</f>
        <v>279231.27129</v>
      </c>
      <c r="E8" s="300">
        <f t="shared" ref="E8:E20" si="0">D8/$D$21</f>
        <v>9.4313494893826483E-2</v>
      </c>
      <c r="F8" s="325">
        <f>'6.1'!H50</f>
        <v>6.5782999785531482E-2</v>
      </c>
      <c r="G8" s="319">
        <v>19.554838709677416</v>
      </c>
      <c r="H8" s="320">
        <v>25.3</v>
      </c>
      <c r="I8" s="320">
        <v>14.2</v>
      </c>
      <c r="J8" s="320">
        <v>18.7</v>
      </c>
      <c r="K8" s="319">
        <v>0.85483870967741638</v>
      </c>
    </row>
    <row r="9" spans="1:11" ht="14.1" customHeight="1">
      <c r="A9" s="153" t="s">
        <v>10</v>
      </c>
      <c r="B9" s="129">
        <f>'6.2'!D20</f>
        <v>80850</v>
      </c>
      <c r="C9" s="306">
        <f>'6.2'!E20</f>
        <v>10971.300000000001</v>
      </c>
      <c r="D9" s="129">
        <f>'6.2'!F20</f>
        <v>120876.74722999999</v>
      </c>
      <c r="E9" s="300">
        <f t="shared" si="0"/>
        <v>4.0827477631683269E-2</v>
      </c>
      <c r="F9" s="325">
        <f>'6.2'!H20</f>
        <v>-5.0597092419522378E-2</v>
      </c>
      <c r="G9" s="319">
        <v>16.135483870967743</v>
      </c>
      <c r="H9" s="320">
        <v>24.1</v>
      </c>
      <c r="I9" s="320">
        <v>10</v>
      </c>
      <c r="J9" s="320">
        <v>16.100000000000009</v>
      </c>
      <c r="K9" s="319">
        <v>3.5483870967734532E-2</v>
      </c>
    </row>
    <row r="10" spans="1:11" ht="14.1" customHeight="1">
      <c r="A10" s="153" t="s">
        <v>89</v>
      </c>
      <c r="B10" s="129">
        <f>'6.2'!D50</f>
        <v>113408</v>
      </c>
      <c r="C10" s="306">
        <f>'6.2'!E50</f>
        <v>10265.200000000001</v>
      </c>
      <c r="D10" s="129">
        <f>'6.2'!F50</f>
        <v>113097.41432</v>
      </c>
      <c r="E10" s="300">
        <f t="shared" si="0"/>
        <v>3.8199920656079814E-2</v>
      </c>
      <c r="F10" s="325">
        <f>'6.2'!H50</f>
        <v>5.564525251694228E-2</v>
      </c>
      <c r="G10" s="319">
        <v>17.019354838709681</v>
      </c>
      <c r="H10" s="320">
        <v>24</v>
      </c>
      <c r="I10" s="320">
        <v>10.6</v>
      </c>
      <c r="J10" s="320">
        <v>16.899999999999991</v>
      </c>
      <c r="K10" s="319">
        <v>0.11935483870968966</v>
      </c>
    </row>
    <row r="11" spans="1:11" ht="14.1" customHeight="1">
      <c r="A11" s="153" t="s">
        <v>11</v>
      </c>
      <c r="B11" s="129">
        <f>'6.3'!D20</f>
        <v>89543</v>
      </c>
      <c r="C11" s="306">
        <f>'6.3'!E20</f>
        <v>8857.4830000000002</v>
      </c>
      <c r="D11" s="129">
        <f>'6.3'!F20</f>
        <v>97583.933840000012</v>
      </c>
      <c r="E11" s="300">
        <f t="shared" si="0"/>
        <v>3.2960068560444013E-2</v>
      </c>
      <c r="F11" s="325">
        <f>'6.3'!H20</f>
        <v>2.9943476547011308E-2</v>
      </c>
      <c r="G11" s="319">
        <v>16.703225806451613</v>
      </c>
      <c r="H11" s="320">
        <v>23.9</v>
      </c>
      <c r="I11" s="320">
        <v>10.7</v>
      </c>
      <c r="J11" s="320">
        <v>16.300000000000008</v>
      </c>
      <c r="K11" s="319">
        <v>0.403225806451605</v>
      </c>
    </row>
    <row r="12" spans="1:11" ht="14.1" customHeight="1">
      <c r="A12" s="153" t="s">
        <v>12</v>
      </c>
      <c r="B12" s="129">
        <f>'6.3'!D50</f>
        <v>363018</v>
      </c>
      <c r="C12" s="306">
        <f>'6.3'!E50</f>
        <v>31642.938000000006</v>
      </c>
      <c r="D12" s="129">
        <f>'6.3'!F50</f>
        <v>348529.10950000002</v>
      </c>
      <c r="E12" s="300">
        <f t="shared" si="0"/>
        <v>0.11771961728111553</v>
      </c>
      <c r="F12" s="325">
        <f>'6.3'!H50</f>
        <v>6.9673784520229029E-2</v>
      </c>
      <c r="G12" s="319">
        <v>18.203225806451613</v>
      </c>
      <c r="H12" s="320">
        <v>24.2</v>
      </c>
      <c r="I12" s="320">
        <v>12</v>
      </c>
      <c r="J12" s="320">
        <v>16.899999999999991</v>
      </c>
      <c r="K12" s="319">
        <v>1.3032258064516213</v>
      </c>
    </row>
    <row r="13" spans="1:11" ht="14.1" customHeight="1">
      <c r="A13" s="153" t="s">
        <v>13</v>
      </c>
      <c r="B13" s="129">
        <f>'6.4'!D20</f>
        <v>179824</v>
      </c>
      <c r="C13" s="306">
        <f>'6.4'!E20</f>
        <v>17717.100000000002</v>
      </c>
      <c r="D13" s="129">
        <f>'6.4'!F20</f>
        <v>195199.96876000002</v>
      </c>
      <c r="E13" s="300">
        <f t="shared" si="0"/>
        <v>6.5930979620836827E-2</v>
      </c>
      <c r="F13" s="325">
        <f>'6.4'!H20</f>
        <v>3.5344695746742484E-3</v>
      </c>
      <c r="G13" s="319">
        <v>18.006451612903227</v>
      </c>
      <c r="H13" s="320">
        <v>24</v>
      </c>
      <c r="I13" s="320">
        <v>11.6</v>
      </c>
      <c r="J13" s="320">
        <v>16.600000000000009</v>
      </c>
      <c r="K13" s="319">
        <v>1.4064516129032185</v>
      </c>
    </row>
    <row r="14" spans="1:11" ht="14.1" customHeight="1">
      <c r="A14" s="153" t="s">
        <v>14</v>
      </c>
      <c r="B14" s="129">
        <f>'6.4'!D50</f>
        <v>131425</v>
      </c>
      <c r="C14" s="306">
        <f>'6.4'!E50</f>
        <v>11942.308999999999</v>
      </c>
      <c r="D14" s="129">
        <f>'6.4'!F50</f>
        <v>131579.15129200002</v>
      </c>
      <c r="E14" s="300">
        <f t="shared" si="0"/>
        <v>4.444233468615981E-2</v>
      </c>
      <c r="F14" s="325">
        <f>'6.4'!H50</f>
        <v>-5.1572940905517235E-2</v>
      </c>
      <c r="G14" s="319">
        <v>17.783870967741937</v>
      </c>
      <c r="H14" s="320">
        <v>24.3</v>
      </c>
      <c r="I14" s="320">
        <v>11.2</v>
      </c>
      <c r="J14" s="320">
        <v>17.5</v>
      </c>
      <c r="K14" s="319">
        <v>0.28387096774193665</v>
      </c>
    </row>
    <row r="15" spans="1:11" ht="14.1" customHeight="1">
      <c r="A15" s="153" t="s">
        <v>15</v>
      </c>
      <c r="B15" s="129">
        <f>'6.5'!D20</f>
        <v>153909</v>
      </c>
      <c r="C15" s="306">
        <f>'6.5'!E20</f>
        <v>11015.433000000001</v>
      </c>
      <c r="D15" s="129">
        <f>'6.5'!F20</f>
        <v>121308.94663999999</v>
      </c>
      <c r="E15" s="300">
        <f t="shared" si="0"/>
        <v>4.0973457831751249E-2</v>
      </c>
      <c r="F15" s="325">
        <f>'6.5'!H20</f>
        <v>-0.1243485138755296</v>
      </c>
      <c r="G15" s="319">
        <v>17.545161290322579</v>
      </c>
      <c r="H15" s="320">
        <v>25.2</v>
      </c>
      <c r="I15" s="320">
        <v>11.5</v>
      </c>
      <c r="J15" s="320">
        <v>17</v>
      </c>
      <c r="K15" s="319">
        <v>0.54516129032257865</v>
      </c>
    </row>
    <row r="16" spans="1:11" ht="14.1" customHeight="1">
      <c r="A16" s="153" t="s">
        <v>1</v>
      </c>
      <c r="B16" s="129">
        <f>'6.5'!D50</f>
        <v>370429</v>
      </c>
      <c r="C16" s="306">
        <f>'6.5'!E50</f>
        <v>15231.328549622998</v>
      </c>
      <c r="D16" s="129">
        <f>'6.5'!F50</f>
        <v>168037.73590221797</v>
      </c>
      <c r="E16" s="300">
        <f t="shared" si="0"/>
        <v>5.6756630708902849E-2</v>
      </c>
      <c r="F16" s="325">
        <f>'6.5'!H50</f>
        <v>-3.0296412325483534E-2</v>
      </c>
      <c r="G16" s="319">
        <v>20.080645161290324</v>
      </c>
      <c r="H16" s="320">
        <v>28.5</v>
      </c>
      <c r="I16" s="320">
        <v>13.8</v>
      </c>
      <c r="J16" s="320">
        <v>18.5</v>
      </c>
      <c r="K16" s="319">
        <v>1.5806451612903238</v>
      </c>
    </row>
    <row r="17" spans="1:16" ht="14.1" customHeight="1">
      <c r="A17" s="153" t="s">
        <v>16</v>
      </c>
      <c r="B17" s="129">
        <f>'6.6'!D20</f>
        <v>275531</v>
      </c>
      <c r="C17" s="306">
        <f>'6.6'!E20</f>
        <v>38315.69860661999</v>
      </c>
      <c r="D17" s="129">
        <f>'6.6'!F20</f>
        <v>422182.54974677903</v>
      </c>
      <c r="E17" s="300">
        <f t="shared" si="0"/>
        <v>0.14259689312681739</v>
      </c>
      <c r="F17" s="325">
        <f>'6.6'!H20</f>
        <v>-9.3554181604001529E-2</v>
      </c>
      <c r="G17" s="319">
        <v>18.316129032258058</v>
      </c>
      <c r="H17" s="320">
        <v>26</v>
      </c>
      <c r="I17" s="320">
        <v>12.7</v>
      </c>
      <c r="J17" s="320">
        <v>18.100000000000009</v>
      </c>
      <c r="K17" s="319">
        <v>0.21612903225804914</v>
      </c>
      <c r="L17" s="93"/>
      <c r="N17" s="93"/>
      <c r="O17" s="93"/>
      <c r="P17" s="93"/>
    </row>
    <row r="18" spans="1:16" ht="14.1" customHeight="1">
      <c r="A18" s="153" t="s">
        <v>17</v>
      </c>
      <c r="B18" s="129">
        <f>'6.6'!D50</f>
        <v>213663</v>
      </c>
      <c r="C18" s="306">
        <f>'6.6'!E50</f>
        <v>53187.364000000001</v>
      </c>
      <c r="D18" s="129">
        <f>'6.6'!F50</f>
        <v>586428.32687500003</v>
      </c>
      <c r="E18" s="300">
        <f t="shared" si="0"/>
        <v>0.19807274721347173</v>
      </c>
      <c r="F18" s="325">
        <f>'6.6'!H50</f>
        <v>-0.21928557375937949</v>
      </c>
      <c r="G18" s="319">
        <v>17.670967741935481</v>
      </c>
      <c r="H18" s="320">
        <v>25.7</v>
      </c>
      <c r="I18" s="320">
        <v>11.3</v>
      </c>
      <c r="J18" s="320">
        <v>18</v>
      </c>
      <c r="K18" s="319">
        <v>-0.32903225806451886</v>
      </c>
      <c r="L18" s="93"/>
      <c r="N18" s="93"/>
      <c r="O18" s="93"/>
      <c r="P18" s="93"/>
    </row>
    <row r="19" spans="1:16" ht="14.1" customHeight="1">
      <c r="A19" s="153" t="s">
        <v>18</v>
      </c>
      <c r="B19" s="129">
        <f>'6.7'!D20</f>
        <v>116432</v>
      </c>
      <c r="C19" s="306">
        <f>'6.7'!E20</f>
        <v>9712.4420680000003</v>
      </c>
      <c r="D19" s="129">
        <f>'6.7'!F20</f>
        <v>107029.38077999999</v>
      </c>
      <c r="E19" s="300">
        <f t="shared" si="0"/>
        <v>3.6150374243722617E-2</v>
      </c>
      <c r="F19" s="325">
        <f>'6.7'!H20</f>
        <v>4.8687625326760124E-2</v>
      </c>
      <c r="G19" s="319">
        <v>17.767741935483869</v>
      </c>
      <c r="H19" s="320">
        <v>24.1</v>
      </c>
      <c r="I19" s="320">
        <v>11.5</v>
      </c>
      <c r="J19" s="320">
        <v>16.699999999999996</v>
      </c>
      <c r="K19" s="319">
        <v>1.0677419354838733</v>
      </c>
      <c r="L19" s="93"/>
      <c r="N19" s="93"/>
      <c r="O19" s="93"/>
      <c r="P19" s="93"/>
    </row>
    <row r="20" spans="1:16" ht="14.1" customHeight="1">
      <c r="A20" s="203" t="s">
        <v>19</v>
      </c>
      <c r="B20" s="303">
        <f>'6.7'!D50</f>
        <v>150425</v>
      </c>
      <c r="C20" s="307">
        <f>'6.7'!E50</f>
        <v>13047.5</v>
      </c>
      <c r="D20" s="303">
        <f>'6.7'!F50</f>
        <v>143752.80308000001</v>
      </c>
      <c r="E20" s="304">
        <f t="shared" si="0"/>
        <v>4.8554122167707103E-2</v>
      </c>
      <c r="F20" s="326">
        <f>'6.7'!H50</f>
        <v>0.12483296693822991</v>
      </c>
      <c r="G20" s="321">
        <v>17.932258064516127</v>
      </c>
      <c r="H20" s="322">
        <v>24.5</v>
      </c>
      <c r="I20" s="322">
        <v>10.9</v>
      </c>
      <c r="J20" s="322">
        <v>17.899999999999991</v>
      </c>
      <c r="K20" s="321">
        <v>3.2258064516135221E-2</v>
      </c>
      <c r="L20" s="93"/>
    </row>
    <row r="21" spans="1:16" ht="14.1" customHeight="1">
      <c r="A21" s="153" t="s">
        <v>0</v>
      </c>
      <c r="B21" s="155">
        <f>SUM(B7:B20)</f>
        <v>2707888</v>
      </c>
      <c r="C21" s="306">
        <f>SUM(C7:C20)</f>
        <v>268651.981155243</v>
      </c>
      <c r="D21" s="129">
        <f>SUM(D7:D20)</f>
        <v>2960671.4458449972</v>
      </c>
      <c r="E21" s="360">
        <f>SUM(E7:E20)</f>
        <v>0.99999999999999978</v>
      </c>
      <c r="F21" s="325"/>
      <c r="G21" s="255">
        <v>17.899999999999999</v>
      </c>
      <c r="H21" s="255">
        <v>24.7</v>
      </c>
      <c r="I21" s="255">
        <v>11.9</v>
      </c>
      <c r="J21" s="255">
        <v>18.203225806451616</v>
      </c>
      <c r="K21" s="255">
        <v>-0.30322580645161779</v>
      </c>
    </row>
    <row r="22" spans="1:16" ht="14.1" customHeight="1">
      <c r="A22" s="203" t="s">
        <v>91</v>
      </c>
      <c r="B22" s="361"/>
      <c r="C22" s="307">
        <f>'5.1'!E20</f>
        <v>-234.82586685499862</v>
      </c>
      <c r="D22" s="303">
        <f>'5.1'!F20</f>
        <v>-2556.9420920000111</v>
      </c>
      <c r="E22" s="361"/>
      <c r="F22" s="326">
        <f>'5.1'!H20</f>
        <v>-0.79332520327801481</v>
      </c>
      <c r="G22" s="261">
        <v>17.899999999999999</v>
      </c>
      <c r="H22" s="261">
        <v>24.7</v>
      </c>
      <c r="I22" s="261">
        <v>11.9</v>
      </c>
      <c r="J22" s="261">
        <v>18.203225806451616</v>
      </c>
      <c r="K22" s="261">
        <v>-0.30322580645161779</v>
      </c>
    </row>
    <row r="23" spans="1:16" ht="14.1" customHeight="1">
      <c r="A23" s="203" t="s">
        <v>54</v>
      </c>
      <c r="B23" s="160">
        <f>B21+B22</f>
        <v>2707888</v>
      </c>
      <c r="C23" s="307">
        <f t="shared" ref="C23:D23" si="1">C21+C22</f>
        <v>268417.15528838802</v>
      </c>
      <c r="D23" s="303">
        <f t="shared" si="1"/>
        <v>2958114.5037529971</v>
      </c>
      <c r="E23" s="361"/>
      <c r="F23" s="326">
        <f>'5.1'!H21</f>
        <v>-4.1888367690571894E-2</v>
      </c>
      <c r="G23" s="261">
        <v>17.899999999999999</v>
      </c>
      <c r="H23" s="261">
        <v>24.7</v>
      </c>
      <c r="I23" s="261">
        <v>11.9</v>
      </c>
      <c r="J23" s="261">
        <v>18.203225806451616</v>
      </c>
      <c r="K23" s="261">
        <v>-0.30322580645161779</v>
      </c>
    </row>
    <row r="24" spans="1:16" ht="15" customHeight="1">
      <c r="A24" s="101"/>
      <c r="B24" s="94"/>
      <c r="C24" s="513" t="s">
        <v>230</v>
      </c>
      <c r="D24" s="513"/>
      <c r="E24" s="513"/>
      <c r="F24" s="513"/>
      <c r="G24" s="516" t="s">
        <v>228</v>
      </c>
      <c r="H24" s="516"/>
      <c r="I24" s="516"/>
      <c r="J24" s="516"/>
      <c r="K24" s="516"/>
    </row>
    <row r="25" spans="1:16" ht="15" customHeight="1">
      <c r="A25" s="94"/>
      <c r="B25" s="94"/>
      <c r="C25" s="513"/>
      <c r="D25" s="513"/>
      <c r="E25" s="513"/>
      <c r="F25" s="513"/>
      <c r="G25" s="516" t="s">
        <v>229</v>
      </c>
      <c r="H25" s="516"/>
      <c r="I25" s="516"/>
      <c r="J25" s="516"/>
      <c r="K25" s="51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77" t="s">
        <v>243</v>
      </c>
      <c r="B29" s="477"/>
      <c r="C29" s="477"/>
      <c r="D29" s="477"/>
      <c r="E29" s="477"/>
      <c r="F29" s="477" t="s">
        <v>60</v>
      </c>
      <c r="G29" s="477"/>
      <c r="H29" s="477"/>
      <c r="I29" s="477"/>
      <c r="J29" s="477"/>
      <c r="K29" s="477"/>
    </row>
    <row r="30" spans="1:16" ht="15" customHeight="1">
      <c r="A30" s="120"/>
      <c r="B30" s="514"/>
      <c r="C30" s="514"/>
      <c r="D30" s="120"/>
      <c r="E30" s="120"/>
      <c r="F30" s="120"/>
      <c r="G30" s="120"/>
      <c r="H30" s="514"/>
      <c r="I30" s="51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232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18" t="s">
        <v>313</v>
      </c>
      <c r="B3" s="418"/>
    </row>
    <row r="4" spans="1:4" ht="11.25" customHeight="1">
      <c r="A4" s="418"/>
      <c r="B4" s="418"/>
    </row>
    <row r="5" spans="1:4" ht="11.25" customHeight="1">
      <c r="A5" s="418"/>
      <c r="B5" s="418"/>
      <c r="C5" s="7"/>
      <c r="D5" s="7"/>
    </row>
    <row r="6" spans="1:4" ht="11.25" customHeight="1">
      <c r="A6" s="418"/>
      <c r="B6" s="418"/>
      <c r="C6" s="7"/>
      <c r="D6" s="7"/>
    </row>
    <row r="7" spans="1:4" ht="11.25" customHeight="1">
      <c r="A7" s="418"/>
      <c r="B7" s="418"/>
      <c r="C7" s="8"/>
      <c r="D7" s="7"/>
    </row>
    <row r="8" spans="1:4" ht="11.25" customHeight="1">
      <c r="A8" s="418"/>
      <c r="B8" s="418"/>
      <c r="C8" s="7"/>
      <c r="D8" s="7"/>
    </row>
    <row r="9" spans="1:4" ht="11.25" customHeight="1">
      <c r="A9" s="418"/>
      <c r="B9" s="418"/>
      <c r="C9" s="7"/>
      <c r="D9" s="7"/>
    </row>
    <row r="10" spans="1:4" ht="11.25" customHeight="1">
      <c r="A10" s="418"/>
      <c r="B10" s="418"/>
      <c r="C10" s="7"/>
      <c r="D10" s="7"/>
    </row>
    <row r="11" spans="1:4" ht="11.25" customHeight="1">
      <c r="A11" s="418"/>
      <c r="B11" s="418"/>
      <c r="C11" s="7"/>
      <c r="D11" s="7"/>
    </row>
    <row r="12" spans="1:4" ht="11.25" customHeight="1">
      <c r="A12" s="418"/>
      <c r="B12" s="418"/>
      <c r="C12" s="7"/>
      <c r="D12" s="7"/>
    </row>
    <row r="13" spans="1:4" ht="11.25" customHeight="1">
      <c r="A13" s="418"/>
      <c r="B13" s="418"/>
      <c r="C13" s="7"/>
      <c r="D13" s="7"/>
    </row>
    <row r="14" spans="1:4" ht="11.25" customHeight="1">
      <c r="A14" s="418"/>
      <c r="B14" s="418"/>
      <c r="C14" s="7"/>
      <c r="D14" s="7"/>
    </row>
    <row r="15" spans="1:4" ht="11.25" customHeight="1">
      <c r="A15" s="418"/>
      <c r="B15" s="418"/>
      <c r="C15" s="7"/>
      <c r="D15" s="7"/>
    </row>
    <row r="16" spans="1:4" ht="11.25" customHeight="1">
      <c r="A16" s="418"/>
      <c r="B16" s="418"/>
      <c r="C16" s="7"/>
      <c r="D16" s="7"/>
    </row>
    <row r="17" spans="1:6" ht="11.25" customHeight="1">
      <c r="A17" s="418"/>
      <c r="B17" s="418"/>
      <c r="C17" s="7"/>
      <c r="D17" s="7"/>
    </row>
    <row r="18" spans="1:6" ht="11.25" customHeight="1">
      <c r="A18" s="418"/>
      <c r="B18" s="418"/>
      <c r="C18" s="7"/>
      <c r="D18" s="7"/>
      <c r="F18" s="2"/>
    </row>
    <row r="19" spans="1:6" ht="11.25" customHeight="1">
      <c r="A19" s="418"/>
      <c r="B19" s="418"/>
      <c r="C19" s="7"/>
      <c r="D19" s="7"/>
      <c r="F19" s="2"/>
    </row>
    <row r="20" spans="1:6" ht="11.25" customHeight="1">
      <c r="A20" s="418"/>
      <c r="B20" s="418"/>
      <c r="C20" s="7"/>
      <c r="D20" s="7"/>
      <c r="F20" s="2"/>
    </row>
    <row r="21" spans="1:6" ht="11.25" customHeight="1">
      <c r="A21" s="418"/>
      <c r="B21" s="418"/>
      <c r="C21" s="7"/>
      <c r="D21" s="7"/>
      <c r="F21" s="2"/>
    </row>
    <row r="22" spans="1:6" ht="11.25" customHeight="1">
      <c r="A22" s="418"/>
      <c r="B22" s="418"/>
      <c r="C22" s="7"/>
      <c r="D22" s="7"/>
      <c r="F22" s="2"/>
    </row>
    <row r="23" spans="1:6" ht="11.25" customHeight="1">
      <c r="A23" s="418"/>
      <c r="B23" s="418"/>
      <c r="C23" s="7"/>
      <c r="D23" s="7"/>
      <c r="F23" s="2"/>
    </row>
    <row r="24" spans="1:6" ht="11.25" customHeight="1">
      <c r="A24" s="418"/>
      <c r="B24" s="418"/>
      <c r="C24" s="7"/>
      <c r="D24" s="7"/>
      <c r="F24" s="2"/>
    </row>
    <row r="25" spans="1:6" ht="11.25" customHeight="1">
      <c r="A25" s="418"/>
      <c r="B25" s="418"/>
      <c r="C25" s="7"/>
      <c r="D25" s="7"/>
      <c r="F25" s="2"/>
    </row>
    <row r="26" spans="1:6" ht="11.25" customHeight="1">
      <c r="A26" s="418"/>
      <c r="B26" s="418"/>
      <c r="C26" s="7"/>
      <c r="D26" s="7"/>
      <c r="F26" s="2"/>
    </row>
    <row r="27" spans="1:6" ht="11.25" customHeight="1">
      <c r="A27" s="418"/>
      <c r="B27" s="418"/>
      <c r="C27" s="7"/>
      <c r="D27" s="7"/>
      <c r="F27" s="2"/>
    </row>
    <row r="28" spans="1:6" ht="11.25" customHeight="1">
      <c r="A28" s="418"/>
      <c r="B28" s="418"/>
      <c r="C28" s="9"/>
      <c r="D28" s="9"/>
      <c r="F28" s="2"/>
    </row>
    <row r="29" spans="1:6" ht="11.25" customHeight="1">
      <c r="A29" s="418"/>
      <c r="B29" s="418"/>
      <c r="C29" s="7"/>
      <c r="D29" s="7"/>
      <c r="F29" s="2"/>
    </row>
    <row r="30" spans="1:6" ht="11.25" customHeight="1">
      <c r="A30" s="418"/>
      <c r="B30" s="418"/>
      <c r="C30" s="7"/>
      <c r="D30" s="7"/>
    </row>
    <row r="31" spans="1:6" ht="11.25" customHeight="1">
      <c r="A31" s="418"/>
      <c r="B31" s="418"/>
      <c r="C31" s="7"/>
      <c r="D31" s="7"/>
    </row>
    <row r="32" spans="1:6" ht="11.25" customHeight="1">
      <c r="A32" s="418"/>
      <c r="B32" s="418"/>
      <c r="C32" s="7"/>
      <c r="D32" s="7"/>
    </row>
    <row r="33" spans="1:4" ht="11.25" customHeight="1">
      <c r="A33" s="418"/>
      <c r="B33" s="418"/>
      <c r="C33" s="7"/>
      <c r="D33" s="7"/>
    </row>
    <row r="34" spans="1:4" ht="11.25" customHeight="1">
      <c r="A34" s="418"/>
      <c r="B34" s="418"/>
      <c r="C34" s="7"/>
      <c r="D34" s="7"/>
    </row>
    <row r="35" spans="1:4" ht="11.25" customHeight="1">
      <c r="A35" s="418"/>
      <c r="B35" s="418"/>
      <c r="C35" s="7"/>
      <c r="D35" s="7"/>
    </row>
    <row r="36" spans="1:4" ht="11.25" customHeight="1">
      <c r="A36" s="418"/>
      <c r="B36" s="418"/>
      <c r="C36" s="7"/>
      <c r="D36" s="7"/>
    </row>
    <row r="37" spans="1:4" ht="11.25" customHeight="1">
      <c r="A37" s="418"/>
      <c r="B37" s="418"/>
      <c r="C37" s="10"/>
      <c r="D37" s="10"/>
    </row>
    <row r="38" spans="1:4" ht="11.25" customHeight="1">
      <c r="A38" s="418"/>
      <c r="B38" s="418"/>
    </row>
    <row r="39" spans="1:4" ht="11.25" customHeight="1">
      <c r="A39" s="418"/>
      <c r="B39" s="418"/>
    </row>
    <row r="40" spans="1:4" ht="11.25" customHeight="1">
      <c r="A40" s="418"/>
      <c r="B40" s="418"/>
    </row>
    <row r="41" spans="1:4" ht="11.25" customHeight="1">
      <c r="A41" s="418"/>
      <c r="B41" s="418"/>
    </row>
    <row r="42" spans="1:4" ht="11.25" customHeight="1">
      <c r="A42" s="418"/>
      <c r="B42" s="418"/>
    </row>
    <row r="43" spans="1:4" ht="11.25" customHeight="1">
      <c r="A43" s="418"/>
      <c r="B43" s="418"/>
    </row>
    <row r="44" spans="1:4" ht="11.25" customHeight="1">
      <c r="A44" s="418"/>
      <c r="B44" s="418"/>
    </row>
    <row r="45" spans="1:4" ht="11.25" customHeight="1">
      <c r="A45" s="418"/>
      <c r="B45" s="418"/>
    </row>
    <row r="46" spans="1:4" ht="11.25" customHeight="1">
      <c r="A46" s="418"/>
      <c r="B46" s="418"/>
    </row>
    <row r="47" spans="1:4" ht="11.25" customHeight="1">
      <c r="A47" s="418"/>
      <c r="B47" s="418"/>
    </row>
    <row r="48" spans="1:4" ht="11.25" customHeight="1">
      <c r="A48" s="418"/>
      <c r="B48" s="418"/>
    </row>
    <row r="49" spans="1:2" ht="11.25" customHeight="1">
      <c r="A49" s="418"/>
      <c r="B49" s="418"/>
    </row>
    <row r="50" spans="1:2" ht="11.25" customHeight="1">
      <c r="A50" s="418"/>
      <c r="B50" s="418"/>
    </row>
    <row r="51" spans="1:2" ht="11.25" customHeight="1">
      <c r="A51" s="418"/>
      <c r="B51" s="418"/>
    </row>
    <row r="52" spans="1:2" ht="11.25" customHeight="1">
      <c r="A52" s="418"/>
      <c r="B52" s="418"/>
    </row>
    <row r="53" spans="1:2" ht="11.25" customHeight="1">
      <c r="A53" s="418"/>
      <c r="B53" s="418"/>
    </row>
    <row r="54" spans="1:2" ht="11.25" customHeight="1">
      <c r="A54" s="418"/>
      <c r="B54" s="418"/>
    </row>
    <row r="55" spans="1:2" ht="11.25" customHeight="1">
      <c r="A55" s="418"/>
      <c r="B55" s="418"/>
    </row>
    <row r="56" spans="1:2" ht="11.25" customHeight="1">
      <c r="A56" s="418"/>
      <c r="B56" s="418"/>
    </row>
    <row r="57" spans="1:2" ht="11.25" customHeight="1">
      <c r="A57" s="418"/>
      <c r="B57" s="418"/>
    </row>
    <row r="58" spans="1:2" ht="11.25" customHeight="1">
      <c r="A58" s="418"/>
      <c r="B58" s="418"/>
    </row>
    <row r="59" spans="1:2" ht="11.25" customHeight="1">
      <c r="A59" s="418"/>
      <c r="B59" s="418"/>
    </row>
    <row r="60" spans="1:2" ht="11.25" customHeight="1">
      <c r="A60" s="418"/>
      <c r="B60" s="418"/>
    </row>
    <row r="61" spans="1:2" ht="11.25" customHeight="1">
      <c r="A61" s="418"/>
      <c r="B61" s="418"/>
    </row>
    <row r="62" spans="1:2" ht="11.25" customHeight="1">
      <c r="A62" s="418"/>
      <c r="B62" s="418"/>
    </row>
    <row r="63" spans="1:2" ht="11.25" customHeight="1">
      <c r="A63" s="418"/>
      <c r="B63" s="418"/>
    </row>
    <row r="64" spans="1:2" ht="11.25" customHeight="1">
      <c r="A64" s="418"/>
      <c r="B64" s="418"/>
    </row>
    <row r="65" spans="1:2" ht="11.25" customHeight="1">
      <c r="A65" s="418"/>
      <c r="B65" s="418"/>
    </row>
    <row r="66" spans="1:2" ht="11.25" customHeight="1">
      <c r="A66" s="418"/>
      <c r="B66" s="418"/>
    </row>
    <row r="67" spans="1:2" ht="11.25" customHeight="1">
      <c r="A67" s="418"/>
      <c r="B67" s="418"/>
    </row>
    <row r="68" spans="1:2" ht="11.25" customHeight="1">
      <c r="A68" s="418"/>
      <c r="B68" s="418"/>
    </row>
    <row r="69" spans="1:2" ht="11.25" customHeight="1">
      <c r="A69" s="418"/>
      <c r="B69" s="418"/>
    </row>
    <row r="70" spans="1:2" ht="11.25" customHeight="1">
      <c r="A70" s="418"/>
      <c r="B70" s="418"/>
    </row>
    <row r="71" spans="1:2" ht="11.25" customHeight="1">
      <c r="A71" s="418"/>
      <c r="B71" s="418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5" t="str">
        <f>"6.10 Spotřeba zemního plynu a teplota ovzduší podle krajů: "&amp;LOWER(A3)</f>
        <v>6.10 Spotřeba zemního plynu a teplota ovzduší podle krajů: září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20.100000000000001" customHeight="1">
      <c r="A3" s="472" t="str">
        <f>'3.1'!F5</f>
        <v>Září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1">
        <f>'3.1'!A4</f>
        <v>2025</v>
      </c>
      <c r="C4" s="528" t="s">
        <v>59</v>
      </c>
      <c r="D4" s="529"/>
      <c r="E4" s="529"/>
      <c r="F4" s="530"/>
      <c r="G4" s="531" t="s">
        <v>182</v>
      </c>
      <c r="H4" s="531"/>
      <c r="I4" s="531"/>
      <c r="J4" s="531"/>
      <c r="K4" s="531"/>
    </row>
    <row r="5" spans="1:11" ht="49.5" customHeight="1">
      <c r="A5" s="271"/>
      <c r="B5" s="490" t="s">
        <v>181</v>
      </c>
      <c r="C5" s="338"/>
      <c r="D5" s="339"/>
      <c r="E5" s="490" t="s">
        <v>265</v>
      </c>
      <c r="F5" s="510" t="s">
        <v>268</v>
      </c>
      <c r="G5" s="362" t="s">
        <v>61</v>
      </c>
      <c r="H5" s="362" t="s">
        <v>170</v>
      </c>
      <c r="I5" s="362" t="s">
        <v>171</v>
      </c>
      <c r="J5" s="362" t="s">
        <v>270</v>
      </c>
      <c r="K5" s="362" t="s">
        <v>271</v>
      </c>
    </row>
    <row r="6" spans="1:11" ht="15" customHeight="1">
      <c r="A6" s="218" t="s">
        <v>183</v>
      </c>
      <c r="B6" s="476"/>
      <c r="C6" s="220" t="s">
        <v>247</v>
      </c>
      <c r="D6" s="218" t="s">
        <v>248</v>
      </c>
      <c r="E6" s="476"/>
      <c r="F6" s="511"/>
      <c r="G6" s="218" t="s">
        <v>218</v>
      </c>
      <c r="H6" s="218" t="s">
        <v>218</v>
      </c>
      <c r="I6" s="218" t="s">
        <v>218</v>
      </c>
      <c r="J6" s="218" t="s">
        <v>218</v>
      </c>
      <c r="K6" s="218" t="s">
        <v>218</v>
      </c>
    </row>
    <row r="7" spans="1:11" ht="14.1" customHeight="1">
      <c r="A7" s="153" t="s">
        <v>8</v>
      </c>
      <c r="B7" s="129">
        <f>'6.1'!D26</f>
        <v>101621</v>
      </c>
      <c r="C7" s="306">
        <f>'6.1'!E26</f>
        <v>12040.513131</v>
      </c>
      <c r="D7" s="129">
        <f>'6.1'!F26</f>
        <v>133190.04280699999</v>
      </c>
      <c r="E7" s="300">
        <f>D7/$D$21</f>
        <v>3.7841464691389708E-2</v>
      </c>
      <c r="F7" s="325">
        <f>'6.1'!H26</f>
        <v>3.2781907395540648E-2</v>
      </c>
      <c r="G7" s="319">
        <v>13.456666666666667</v>
      </c>
      <c r="H7" s="320">
        <v>19.3</v>
      </c>
      <c r="I7" s="320">
        <v>5.7</v>
      </c>
      <c r="J7" s="320">
        <v>12.600000000000003</v>
      </c>
      <c r="K7" s="319">
        <v>0.8566666666666638</v>
      </c>
    </row>
    <row r="8" spans="1:11" ht="14.1" customHeight="1">
      <c r="A8" s="153" t="s">
        <v>9</v>
      </c>
      <c r="B8" s="129">
        <f>'6.1'!D56</f>
        <v>367528</v>
      </c>
      <c r="C8" s="306">
        <f>'6.1'!E56</f>
        <v>31851.400000000005</v>
      </c>
      <c r="D8" s="129">
        <f>'6.1'!F56</f>
        <v>352143.57253</v>
      </c>
      <c r="E8" s="300">
        <f t="shared" ref="E8:E20" si="0">D8/$D$21</f>
        <v>0.10004973559099628</v>
      </c>
      <c r="F8" s="325">
        <f>'6.1'!H56</f>
        <v>3.3643517322634463E-3</v>
      </c>
      <c r="G8" s="319">
        <v>12.626666666666669</v>
      </c>
      <c r="H8" s="320">
        <v>17.399999999999999</v>
      </c>
      <c r="I8" s="320">
        <v>6.3</v>
      </c>
      <c r="J8" s="320">
        <v>14.199999999999992</v>
      </c>
      <c r="K8" s="319">
        <v>-1.5733333333333235</v>
      </c>
    </row>
    <row r="9" spans="1:11" ht="14.1" customHeight="1">
      <c r="A9" s="153" t="s">
        <v>10</v>
      </c>
      <c r="B9" s="129">
        <f>'6.2'!D26</f>
        <v>80799</v>
      </c>
      <c r="C9" s="306">
        <f>'6.2'!E26</f>
        <v>15668.900000000001</v>
      </c>
      <c r="D9" s="129">
        <f>'6.2'!F26</f>
        <v>173232.16219999999</v>
      </c>
      <c r="E9" s="300">
        <f t="shared" si="0"/>
        <v>4.9218084258772145E-2</v>
      </c>
      <c r="F9" s="325">
        <f>'6.2'!H26</f>
        <v>0.11685377240813995</v>
      </c>
      <c r="G9" s="319">
        <v>12.533333333333337</v>
      </c>
      <c r="H9" s="320">
        <v>18.3</v>
      </c>
      <c r="I9" s="320">
        <v>5.8</v>
      </c>
      <c r="J9" s="320">
        <v>11.800000000000006</v>
      </c>
      <c r="K9" s="319">
        <v>0.73333333333333073</v>
      </c>
    </row>
    <row r="10" spans="1:11" ht="14.1" customHeight="1">
      <c r="A10" s="153" t="s">
        <v>89</v>
      </c>
      <c r="B10" s="129">
        <f>'6.2'!D56</f>
        <v>113336</v>
      </c>
      <c r="C10" s="306">
        <f>'6.2'!E56</f>
        <v>13057.1</v>
      </c>
      <c r="D10" s="129">
        <f>'6.2'!F56</f>
        <v>144357.68417999998</v>
      </c>
      <c r="E10" s="300">
        <f t="shared" si="0"/>
        <v>4.1014373850333768E-2</v>
      </c>
      <c r="F10" s="325">
        <f>'6.2'!H56</f>
        <v>5.5050986602886216E-2</v>
      </c>
      <c r="G10" s="319">
        <v>13.536666666666664</v>
      </c>
      <c r="H10" s="320">
        <v>19.600000000000001</v>
      </c>
      <c r="I10" s="320">
        <v>5.9</v>
      </c>
      <c r="J10" s="320">
        <v>12.600000000000003</v>
      </c>
      <c r="K10" s="319">
        <v>0.93666666666666032</v>
      </c>
    </row>
    <row r="11" spans="1:11" ht="14.1" customHeight="1">
      <c r="A11" s="153" t="s">
        <v>11</v>
      </c>
      <c r="B11" s="129">
        <f>'6.3'!D26</f>
        <v>89487</v>
      </c>
      <c r="C11" s="306">
        <f>'6.3'!E26</f>
        <v>11457.093000000001</v>
      </c>
      <c r="D11" s="129">
        <f>'6.3'!F26</f>
        <v>126662.16012999999</v>
      </c>
      <c r="E11" s="300">
        <f t="shared" si="0"/>
        <v>3.5986786694257575E-2</v>
      </c>
      <c r="F11" s="325">
        <f>'6.3'!H26</f>
        <v>5.750463606379979E-2</v>
      </c>
      <c r="G11" s="319">
        <v>13.516666666666664</v>
      </c>
      <c r="H11" s="320">
        <v>19.7</v>
      </c>
      <c r="I11" s="320">
        <v>5.3</v>
      </c>
      <c r="J11" s="320">
        <v>12.300000000000006</v>
      </c>
      <c r="K11" s="319">
        <v>1.2166666666666579</v>
      </c>
    </row>
    <row r="12" spans="1:11" ht="14.1" customHeight="1">
      <c r="A12" s="153" t="s">
        <v>12</v>
      </c>
      <c r="B12" s="129">
        <f>'6.3'!D56</f>
        <v>362796</v>
      </c>
      <c r="C12" s="306">
        <f>'6.3'!E56</f>
        <v>41225.992999999995</v>
      </c>
      <c r="D12" s="129">
        <f>'6.3'!F56</f>
        <v>455597.41553</v>
      </c>
      <c r="E12" s="300">
        <f t="shared" si="0"/>
        <v>0.12944266065181265</v>
      </c>
      <c r="F12" s="325">
        <f>'6.3'!H56</f>
        <v>3.7070405661731989E-2</v>
      </c>
      <c r="G12" s="319">
        <v>14.610000000000005</v>
      </c>
      <c r="H12" s="320">
        <v>21.5</v>
      </c>
      <c r="I12" s="320">
        <v>7.3</v>
      </c>
      <c r="J12" s="320">
        <v>12.699999999999994</v>
      </c>
      <c r="K12" s="319">
        <v>1.9100000000000108</v>
      </c>
    </row>
    <row r="13" spans="1:11" ht="14.1" customHeight="1">
      <c r="A13" s="153" t="s">
        <v>13</v>
      </c>
      <c r="B13" s="129">
        <f>'6.4'!D26</f>
        <v>179713</v>
      </c>
      <c r="C13" s="306">
        <f>'6.4'!E26</f>
        <v>23589.3</v>
      </c>
      <c r="D13" s="129">
        <f>'6.4'!F26</f>
        <v>260798.89516999997</v>
      </c>
      <c r="E13" s="300">
        <f t="shared" si="0"/>
        <v>7.4097222098124596E-2</v>
      </c>
      <c r="F13" s="325">
        <f>'6.4'!H26</f>
        <v>0.28596894829804409</v>
      </c>
      <c r="G13" s="319">
        <v>14.346666666666668</v>
      </c>
      <c r="H13" s="320">
        <v>20.6</v>
      </c>
      <c r="I13" s="320">
        <v>7.2</v>
      </c>
      <c r="J13" s="320">
        <v>12.5</v>
      </c>
      <c r="K13" s="319">
        <v>1.8466666666666676</v>
      </c>
    </row>
    <row r="14" spans="1:11" ht="14.1" customHeight="1">
      <c r="A14" s="153" t="s">
        <v>14</v>
      </c>
      <c r="B14" s="129">
        <f>'6.4'!D56</f>
        <v>131343</v>
      </c>
      <c r="C14" s="306">
        <f>'6.4'!E56</f>
        <v>14137.147999999999</v>
      </c>
      <c r="D14" s="129">
        <f>'6.4'!F56</f>
        <v>156297.935933</v>
      </c>
      <c r="E14" s="300">
        <f t="shared" si="0"/>
        <v>4.4406794226473985E-2</v>
      </c>
      <c r="F14" s="325">
        <f>'6.4'!H56</f>
        <v>-2.1379759102866023E-2</v>
      </c>
      <c r="G14" s="319">
        <v>14.123333333333337</v>
      </c>
      <c r="H14" s="320">
        <v>19.600000000000001</v>
      </c>
      <c r="I14" s="320">
        <v>5.8</v>
      </c>
      <c r="J14" s="320">
        <v>13.300000000000008</v>
      </c>
      <c r="K14" s="319">
        <v>0.82333333333332881</v>
      </c>
    </row>
    <row r="15" spans="1:11" ht="14.1" customHeight="1">
      <c r="A15" s="153" t="s">
        <v>15</v>
      </c>
      <c r="B15" s="129">
        <f>'6.5'!D26</f>
        <v>153812</v>
      </c>
      <c r="C15" s="306">
        <f>'6.5'!E26</f>
        <v>15443.4</v>
      </c>
      <c r="D15" s="129">
        <f>'6.5'!F26</f>
        <v>170739.31439000001</v>
      </c>
      <c r="E15" s="300">
        <f t="shared" si="0"/>
        <v>4.8509825515137564E-2</v>
      </c>
      <c r="F15" s="325">
        <f>'6.5'!H26</f>
        <v>-1.0793048892191213E-2</v>
      </c>
      <c r="G15" s="319">
        <v>13.736666666666666</v>
      </c>
      <c r="H15" s="320">
        <v>19.8</v>
      </c>
      <c r="I15" s="320">
        <v>6.4</v>
      </c>
      <c r="J15" s="320">
        <v>12.800000000000006</v>
      </c>
      <c r="K15" s="319">
        <v>0.93666666666666032</v>
      </c>
    </row>
    <row r="16" spans="1:11" ht="14.1" customHeight="1">
      <c r="A16" s="153" t="s">
        <v>1</v>
      </c>
      <c r="B16" s="129">
        <f>'6.5'!D56</f>
        <v>369967</v>
      </c>
      <c r="C16" s="306">
        <f>'6.5'!E56</f>
        <v>20890.296473914001</v>
      </c>
      <c r="D16" s="129">
        <f>'6.5'!F56</f>
        <v>231296.484329953</v>
      </c>
      <c r="E16" s="300">
        <f t="shared" si="0"/>
        <v>6.5715105728267581E-2</v>
      </c>
      <c r="F16" s="325">
        <f>'6.5'!H56</f>
        <v>-0.12882157888644316</v>
      </c>
      <c r="G16" s="319">
        <v>15.803333333333333</v>
      </c>
      <c r="H16" s="320">
        <v>22</v>
      </c>
      <c r="I16" s="320">
        <v>8.6</v>
      </c>
      <c r="J16" s="320">
        <v>14.100000000000005</v>
      </c>
      <c r="K16" s="319">
        <v>1.7033333333333278</v>
      </c>
    </row>
    <row r="17" spans="1:16" ht="14.1" customHeight="1">
      <c r="A17" s="153" t="s">
        <v>16</v>
      </c>
      <c r="B17" s="129">
        <f>'6.6'!D26</f>
        <v>275368</v>
      </c>
      <c r="C17" s="306">
        <f>'6.6'!E26</f>
        <v>43711.844025611004</v>
      </c>
      <c r="D17" s="129">
        <f>'6.6'!F26</f>
        <v>483321.42048705509</v>
      </c>
      <c r="E17" s="300">
        <f t="shared" si="0"/>
        <v>0.13731950288848452</v>
      </c>
      <c r="F17" s="325">
        <f>'6.6'!H26</f>
        <v>-8.0547556043247287E-2</v>
      </c>
      <c r="G17" s="319">
        <v>14.546666666666669</v>
      </c>
      <c r="H17" s="320">
        <v>20</v>
      </c>
      <c r="I17" s="320">
        <v>6.4</v>
      </c>
      <c r="J17" s="320">
        <v>13.699999999999992</v>
      </c>
      <c r="K17" s="319">
        <v>0.84666666666667645</v>
      </c>
      <c r="L17" s="93"/>
      <c r="N17" s="93"/>
      <c r="O17" s="93"/>
      <c r="P17" s="93"/>
    </row>
    <row r="18" spans="1:16" ht="14.1" customHeight="1">
      <c r="A18" s="153" t="s">
        <v>17</v>
      </c>
      <c r="B18" s="129">
        <f>'6.6'!D56</f>
        <v>213528</v>
      </c>
      <c r="C18" s="306">
        <f>'6.6'!E56</f>
        <v>47404.115999999995</v>
      </c>
      <c r="D18" s="129">
        <f>'6.6'!F56</f>
        <v>524057.46883300005</v>
      </c>
      <c r="E18" s="300">
        <f t="shared" si="0"/>
        <v>0.14889327899563362</v>
      </c>
      <c r="F18" s="325">
        <f>'6.6'!H56</f>
        <v>-0.32510600788438365</v>
      </c>
      <c r="G18" s="319">
        <v>14.15</v>
      </c>
      <c r="H18" s="320">
        <v>19.600000000000001</v>
      </c>
      <c r="I18" s="320">
        <v>7.1</v>
      </c>
      <c r="J18" s="320">
        <v>13.699999999999992</v>
      </c>
      <c r="K18" s="319">
        <v>0.45000000000000817</v>
      </c>
      <c r="L18" s="93"/>
      <c r="N18" s="93"/>
      <c r="O18" s="93"/>
      <c r="P18" s="93"/>
    </row>
    <row r="19" spans="1:16" ht="14.1" customHeight="1">
      <c r="A19" s="153" t="s">
        <v>18</v>
      </c>
      <c r="B19" s="129">
        <f>'6.7'!D26</f>
        <v>116371</v>
      </c>
      <c r="C19" s="306">
        <f>'6.7'!E26</f>
        <v>11728.107869000001</v>
      </c>
      <c r="D19" s="129">
        <f>'6.7'!F26</f>
        <v>129674.07980000001</v>
      </c>
      <c r="E19" s="300">
        <f t="shared" si="0"/>
        <v>3.6842522224058136E-2</v>
      </c>
      <c r="F19" s="325">
        <f>'6.7'!H26</f>
        <v>-1.8142211143589739E-2</v>
      </c>
      <c r="G19" s="319">
        <v>13.656666666666666</v>
      </c>
      <c r="H19" s="320">
        <v>19.5</v>
      </c>
      <c r="I19" s="320">
        <v>4.5</v>
      </c>
      <c r="J19" s="320">
        <v>12.399999999999997</v>
      </c>
      <c r="K19" s="319">
        <v>1.2566666666666695</v>
      </c>
      <c r="L19" s="93"/>
      <c r="N19" s="93"/>
      <c r="O19" s="93"/>
      <c r="P19" s="93"/>
    </row>
    <row r="20" spans="1:16" ht="14.1" customHeight="1">
      <c r="A20" s="203" t="s">
        <v>19</v>
      </c>
      <c r="B20" s="303">
        <f>'6.7'!D56</f>
        <v>150332</v>
      </c>
      <c r="C20" s="307">
        <f>'6.7'!E56</f>
        <v>16128.8</v>
      </c>
      <c r="D20" s="303">
        <f>'6.7'!F56</f>
        <v>178316.55275</v>
      </c>
      <c r="E20" s="304">
        <f t="shared" si="0"/>
        <v>5.0662642586258091E-2</v>
      </c>
      <c r="F20" s="326">
        <f>'6.7'!H56</f>
        <v>9.9695907708671469E-2</v>
      </c>
      <c r="G20" s="321">
        <v>14.51333333333333</v>
      </c>
      <c r="H20" s="322">
        <v>22.2</v>
      </c>
      <c r="I20" s="322">
        <v>7</v>
      </c>
      <c r="J20" s="322">
        <v>13.699999999999992</v>
      </c>
      <c r="K20" s="321">
        <v>0.8133333333333379</v>
      </c>
      <c r="L20" s="93"/>
    </row>
    <row r="21" spans="1:16" ht="14.1" customHeight="1">
      <c r="A21" s="153" t="s">
        <v>0</v>
      </c>
      <c r="B21" s="155">
        <f>SUM(B7:B20)</f>
        <v>2706001</v>
      </c>
      <c r="C21" s="306">
        <f>SUM(C7:C20)</f>
        <v>318334.01149952493</v>
      </c>
      <c r="D21" s="129">
        <f>SUM(D7:D20)</f>
        <v>3519685.1890700073</v>
      </c>
      <c r="E21" s="360">
        <f>SUM(E7:E20)</f>
        <v>1.0000000000000002</v>
      </c>
      <c r="F21" s="325"/>
      <c r="G21" s="255">
        <v>14.100000000000001</v>
      </c>
      <c r="H21" s="255">
        <v>19.8</v>
      </c>
      <c r="I21" s="255">
        <v>6.3</v>
      </c>
      <c r="J21" s="255">
        <v>13.360000000000001</v>
      </c>
      <c r="K21" s="255">
        <v>0.74000000000000021</v>
      </c>
    </row>
    <row r="22" spans="1:16" ht="14.1" customHeight="1">
      <c r="A22" s="203" t="s">
        <v>91</v>
      </c>
      <c r="B22" s="361"/>
      <c r="C22" s="307">
        <f>'5.1'!E27</f>
        <v>1931.3241215499993</v>
      </c>
      <c r="D22" s="303">
        <f>'5.1'!F27</f>
        <v>21503.873612999982</v>
      </c>
      <c r="E22" s="361"/>
      <c r="F22" s="326">
        <f>'5.1'!H27</f>
        <v>-4.1000019624069042</v>
      </c>
      <c r="G22" s="261">
        <v>14.100000000000001</v>
      </c>
      <c r="H22" s="261">
        <v>19.8</v>
      </c>
      <c r="I22" s="261">
        <v>6.3</v>
      </c>
      <c r="J22" s="261">
        <v>13.360000000000001</v>
      </c>
      <c r="K22" s="261">
        <v>0.74000000000000021</v>
      </c>
    </row>
    <row r="23" spans="1:16" ht="14.1" customHeight="1">
      <c r="A23" s="203" t="s">
        <v>54</v>
      </c>
      <c r="B23" s="160">
        <f>B21+B22</f>
        <v>2706001</v>
      </c>
      <c r="C23" s="307">
        <f t="shared" ref="C23:D23" si="1">C21+C22</f>
        <v>320265.33562107495</v>
      </c>
      <c r="D23" s="303">
        <f t="shared" si="1"/>
        <v>3541189.0626830072</v>
      </c>
      <c r="E23" s="361"/>
      <c r="F23" s="326">
        <f>'5.1'!H28</f>
        <v>-4.8371368915685053E-2</v>
      </c>
      <c r="G23" s="261">
        <v>14.100000000000001</v>
      </c>
      <c r="H23" s="261">
        <v>19.8</v>
      </c>
      <c r="I23" s="261">
        <v>6.3</v>
      </c>
      <c r="J23" s="261">
        <v>13.360000000000001</v>
      </c>
      <c r="K23" s="261">
        <v>0.74000000000000021</v>
      </c>
    </row>
    <row r="24" spans="1:16" ht="15" customHeight="1">
      <c r="A24" s="101"/>
      <c r="B24" s="94"/>
      <c r="C24" s="513" t="s">
        <v>230</v>
      </c>
      <c r="D24" s="513"/>
      <c r="E24" s="513"/>
      <c r="F24" s="513"/>
      <c r="G24" s="516" t="s">
        <v>228</v>
      </c>
      <c r="H24" s="516"/>
      <c r="I24" s="516"/>
      <c r="J24" s="516"/>
      <c r="K24" s="516"/>
    </row>
    <row r="25" spans="1:16" ht="15" customHeight="1">
      <c r="A25" s="94"/>
      <c r="B25" s="94"/>
      <c r="C25" s="513"/>
      <c r="D25" s="513"/>
      <c r="E25" s="513"/>
      <c r="F25" s="513"/>
      <c r="G25" s="516" t="s">
        <v>229</v>
      </c>
      <c r="H25" s="516"/>
      <c r="I25" s="516"/>
      <c r="J25" s="516"/>
      <c r="K25" s="51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77" t="s">
        <v>243</v>
      </c>
      <c r="B29" s="477"/>
      <c r="C29" s="477"/>
      <c r="D29" s="477"/>
      <c r="E29" s="477"/>
      <c r="F29" s="477" t="s">
        <v>60</v>
      </c>
      <c r="G29" s="477"/>
      <c r="H29" s="477"/>
      <c r="I29" s="477"/>
      <c r="J29" s="477"/>
      <c r="K29" s="477"/>
    </row>
    <row r="30" spans="1:16" ht="15" customHeight="1">
      <c r="A30" s="120"/>
      <c r="B30" s="514"/>
      <c r="C30" s="514"/>
      <c r="D30" s="120"/>
      <c r="E30" s="120"/>
      <c r="F30" s="120"/>
      <c r="G30" s="120"/>
      <c r="H30" s="514"/>
      <c r="I30" s="51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505" t="str">
        <f>"6.11 Spotřeba zemního plynu a teplota ovzduší podle krajů: "&amp;(A3)</f>
        <v>6.11 Spotřeba zemního plynu a teplota ovzduší podle krajů: III. čtvrtletí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293"/>
      <c r="D2" s="294"/>
      <c r="E2" s="295"/>
      <c r="F2" s="295"/>
      <c r="G2" s="295"/>
      <c r="H2" s="295"/>
      <c r="I2" s="76"/>
      <c r="J2" s="76"/>
      <c r="K2" s="76"/>
    </row>
    <row r="3" spans="1:11" ht="20.100000000000001" customHeight="1">
      <c r="A3" s="532" t="str">
        <f>'3.1'!G5</f>
        <v>III. čtvrtletí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20.100000000000001" customHeight="1">
      <c r="A4" s="128"/>
      <c r="B4" s="251">
        <f>'3.1'!A4</f>
        <v>2025</v>
      </c>
      <c r="C4" s="528" t="s">
        <v>59</v>
      </c>
      <c r="D4" s="529"/>
      <c r="E4" s="529"/>
      <c r="F4" s="530"/>
      <c r="G4" s="531" t="s">
        <v>182</v>
      </c>
      <c r="H4" s="531"/>
      <c r="I4" s="531"/>
      <c r="J4" s="531"/>
      <c r="K4" s="531"/>
    </row>
    <row r="5" spans="1:11" ht="49.5" customHeight="1">
      <c r="A5" s="271"/>
      <c r="B5" s="490" t="s">
        <v>181</v>
      </c>
      <c r="C5" s="338"/>
      <c r="D5" s="339"/>
      <c r="E5" s="490" t="s">
        <v>265</v>
      </c>
      <c r="F5" s="510" t="s">
        <v>268</v>
      </c>
      <c r="G5" s="362" t="s">
        <v>61</v>
      </c>
      <c r="H5" s="362" t="s">
        <v>170</v>
      </c>
      <c r="I5" s="362" t="s">
        <v>171</v>
      </c>
      <c r="J5" s="362" t="s">
        <v>270</v>
      </c>
      <c r="K5" s="362" t="s">
        <v>271</v>
      </c>
    </row>
    <row r="6" spans="1:11" ht="15" customHeight="1">
      <c r="A6" s="218" t="s">
        <v>183</v>
      </c>
      <c r="B6" s="476"/>
      <c r="C6" s="220" t="s">
        <v>247</v>
      </c>
      <c r="D6" s="218" t="s">
        <v>248</v>
      </c>
      <c r="E6" s="476"/>
      <c r="F6" s="511"/>
      <c r="G6" s="218" t="s">
        <v>218</v>
      </c>
      <c r="H6" s="218" t="s">
        <v>218</v>
      </c>
      <c r="I6" s="218" t="s">
        <v>218</v>
      </c>
      <c r="J6" s="218" t="s">
        <v>218</v>
      </c>
      <c r="K6" s="218" t="s">
        <v>218</v>
      </c>
    </row>
    <row r="7" spans="1:11" ht="14.1" customHeight="1">
      <c r="A7" s="153" t="s">
        <v>8</v>
      </c>
      <c r="B7" s="129">
        <f>'6.1'!D32</f>
        <v>101621</v>
      </c>
      <c r="C7" s="306">
        <f>'6.1'!E32</f>
        <v>33288.090051000006</v>
      </c>
      <c r="D7" s="129">
        <f>'6.1'!F32</f>
        <v>367353.49451300001</v>
      </c>
      <c r="E7" s="300">
        <f>D7/$D$21</f>
        <v>3.7792564540230535E-2</v>
      </c>
      <c r="F7" s="325">
        <f>'6.1'!H32</f>
        <v>0.20990833736879555</v>
      </c>
      <c r="G7" s="319">
        <f>AVERAGE('6.8'!G7,'6.9'!G7,'6.10'!G7)</f>
        <v>16.102759856630822</v>
      </c>
      <c r="H7" s="320">
        <f>MAX('6.8'!H7,'6.9'!H7,'6.10'!H7)</f>
        <v>23.9</v>
      </c>
      <c r="I7" s="320">
        <f>MIN('6.8'!I7,'6.9'!I7,'6.10'!I7)</f>
        <v>5.7</v>
      </c>
      <c r="J7" s="320">
        <f>AVERAGE('6.8'!J7,'6.9'!J7,'6.10'!J7)</f>
        <v>15.566666666666663</v>
      </c>
      <c r="K7" s="319">
        <f>G7-J7</f>
        <v>0.53609318996415922</v>
      </c>
    </row>
    <row r="8" spans="1:11" ht="14.1" customHeight="1">
      <c r="A8" s="153" t="s">
        <v>9</v>
      </c>
      <c r="B8" s="129">
        <f>'6.1'!D62</f>
        <v>367528</v>
      </c>
      <c r="C8" s="306">
        <f>'6.1'!E62</f>
        <v>82765.3</v>
      </c>
      <c r="D8" s="129">
        <f>'6.1'!F62</f>
        <v>912304.16114999994</v>
      </c>
      <c r="E8" s="300">
        <f t="shared" ref="E8:E20" si="0">D8/$D$21</f>
        <v>9.3855957287925368E-2</v>
      </c>
      <c r="F8" s="325">
        <f>'6.1'!H62</f>
        <v>4.0478770614014059E-2</v>
      </c>
      <c r="G8" s="319">
        <f>AVERAGE('6.8'!G8,'6.9'!G8,'6.10'!G8)</f>
        <v>17.278781362007166</v>
      </c>
      <c r="H8" s="320">
        <f>MAX('6.8'!H8,'6.9'!H8,'6.10'!H8)</f>
        <v>25.5</v>
      </c>
      <c r="I8" s="320">
        <f>MIN('6.8'!I8,'6.9'!I8,'6.10'!I8)</f>
        <v>6.3</v>
      </c>
      <c r="J8" s="320">
        <f>AVERAGE('6.8'!J8,'6.9'!J8,'6.10'!J8)</f>
        <v>17.266666666666662</v>
      </c>
      <c r="K8" s="319">
        <f t="shared" ref="K8:K23" si="1">G8-J8</f>
        <v>1.21146953405038E-2</v>
      </c>
    </row>
    <row r="9" spans="1:11" ht="14.1" customHeight="1">
      <c r="A9" s="153" t="s">
        <v>10</v>
      </c>
      <c r="B9" s="129">
        <f>'6.2'!D32</f>
        <v>80799</v>
      </c>
      <c r="C9" s="306">
        <f>'6.2'!E32</f>
        <v>37293.30000000001</v>
      </c>
      <c r="D9" s="129">
        <f>'6.2'!F32</f>
        <v>411151.02433000004</v>
      </c>
      <c r="E9" s="300">
        <f t="shared" si="0"/>
        <v>4.2298363442473098E-2</v>
      </c>
      <c r="F9" s="325">
        <f>'6.2'!H32</f>
        <v>9.1388771015935094E-2</v>
      </c>
      <c r="G9" s="319">
        <f>AVERAGE('6.8'!G9,'6.9'!G9,'6.10'!G9)</f>
        <v>15.01003584229391</v>
      </c>
      <c r="H9" s="320">
        <f>MAX('6.8'!H9,'6.9'!H9,'6.10'!H9)</f>
        <v>24.8</v>
      </c>
      <c r="I9" s="320">
        <f>MIN('6.8'!I9,'6.9'!I9,'6.10'!I9)</f>
        <v>5.8</v>
      </c>
      <c r="J9" s="320">
        <f>AVERAGE('6.8'!J9,'6.9'!J9,'6.10'!J9)</f>
        <v>14.800000000000004</v>
      </c>
      <c r="K9" s="319">
        <f t="shared" si="1"/>
        <v>0.21003584229390526</v>
      </c>
    </row>
    <row r="10" spans="1:11" ht="14.1" customHeight="1">
      <c r="A10" s="153" t="s">
        <v>89</v>
      </c>
      <c r="B10" s="129">
        <f>'6.2'!D62</f>
        <v>113336</v>
      </c>
      <c r="C10" s="306">
        <f>'6.2'!E62</f>
        <v>32798.799999999996</v>
      </c>
      <c r="D10" s="129">
        <f>'6.2'!F62</f>
        <v>361570.50254000002</v>
      </c>
      <c r="E10" s="300">
        <f t="shared" si="0"/>
        <v>3.7197622337040187E-2</v>
      </c>
      <c r="F10" s="325">
        <f>'6.2'!H62</f>
        <v>5.4325464177338773E-2</v>
      </c>
      <c r="G10" s="319">
        <f>AVERAGE('6.8'!G10,'6.9'!G10,'6.10'!G10)</f>
        <v>16.086415770609321</v>
      </c>
      <c r="H10" s="320">
        <f>MAX('6.8'!H10,'6.9'!H10,'6.10'!H10)</f>
        <v>24</v>
      </c>
      <c r="I10" s="320">
        <f>MIN('6.8'!I10,'6.9'!I10,'6.10'!I10)</f>
        <v>5.9</v>
      </c>
      <c r="J10" s="320">
        <f>AVERAGE('6.8'!J10,'6.9'!J10,'6.10'!J10)</f>
        <v>15.466666666666661</v>
      </c>
      <c r="K10" s="319">
        <f t="shared" si="1"/>
        <v>0.61974910394265947</v>
      </c>
    </row>
    <row r="11" spans="1:11" ht="14.1" customHeight="1">
      <c r="A11" s="153" t="s">
        <v>11</v>
      </c>
      <c r="B11" s="129">
        <f>'6.3'!D32</f>
        <v>89487</v>
      </c>
      <c r="C11" s="306">
        <f>'6.3'!E32</f>
        <v>29144.565000000002</v>
      </c>
      <c r="D11" s="129">
        <f>'6.3'!F32</f>
        <v>321254.99044999998</v>
      </c>
      <c r="E11" s="300">
        <f t="shared" si="0"/>
        <v>3.3050046186570627E-2</v>
      </c>
      <c r="F11" s="325">
        <f>'6.3'!H32</f>
        <v>5.4592675817823587E-2</v>
      </c>
      <c r="G11" s="319">
        <f>AVERAGE('6.8'!G11,'6.9'!G11,'6.10'!G11)</f>
        <v>15.82921146953405</v>
      </c>
      <c r="H11" s="320">
        <f>MAX('6.8'!H11,'6.9'!H11,'6.10'!H11)</f>
        <v>23.9</v>
      </c>
      <c r="I11" s="320">
        <f>MIN('6.8'!I11,'6.9'!I11,'6.10'!I11)</f>
        <v>5.3</v>
      </c>
      <c r="J11" s="320">
        <f>AVERAGE('6.8'!J11,'6.9'!J11,'6.10'!J11)</f>
        <v>15.066666666666675</v>
      </c>
      <c r="K11" s="319">
        <f t="shared" si="1"/>
        <v>0.76254480286737447</v>
      </c>
    </row>
    <row r="12" spans="1:11" ht="14.1" customHeight="1">
      <c r="A12" s="153" t="s">
        <v>12</v>
      </c>
      <c r="B12" s="129">
        <f>'6.3'!D62</f>
        <v>362796</v>
      </c>
      <c r="C12" s="306">
        <f>'6.3'!E62</f>
        <v>108861.39000000001</v>
      </c>
      <c r="D12" s="129">
        <f>'6.3'!F62</f>
        <v>1199419.8021800001</v>
      </c>
      <c r="E12" s="300">
        <f t="shared" si="0"/>
        <v>0.12339381811192782</v>
      </c>
      <c r="F12" s="325">
        <f>'6.3'!H62</f>
        <v>3.7233837295247381E-2</v>
      </c>
      <c r="G12" s="319">
        <f>AVERAGE('6.8'!G12,'6.9'!G12,'6.10'!G12)</f>
        <v>17.046344086021509</v>
      </c>
      <c r="H12" s="320">
        <f>MAX('6.8'!H12,'6.9'!H12,'6.10'!H12)</f>
        <v>24.7</v>
      </c>
      <c r="I12" s="320">
        <f>MIN('6.8'!I12,'6.9'!I12,'6.10'!I12)</f>
        <v>7.3</v>
      </c>
      <c r="J12" s="320">
        <f>AVERAGE('6.8'!J12,'6.9'!J12,'6.10'!J12)</f>
        <v>15.599999999999994</v>
      </c>
      <c r="K12" s="319">
        <f t="shared" si="1"/>
        <v>1.4463440860215151</v>
      </c>
    </row>
    <row r="13" spans="1:11" ht="14.1" customHeight="1">
      <c r="A13" s="153" t="s">
        <v>13</v>
      </c>
      <c r="B13" s="129">
        <f>'6.4'!D32</f>
        <v>179713</v>
      </c>
      <c r="C13" s="306">
        <f>'6.4'!E32</f>
        <v>59450.100000000006</v>
      </c>
      <c r="D13" s="129">
        <f>'6.4'!F32</f>
        <v>655337.14017999999</v>
      </c>
      <c r="E13" s="300">
        <f t="shared" si="0"/>
        <v>6.74197238784843E-2</v>
      </c>
      <c r="F13" s="325">
        <f>'6.4'!H32</f>
        <v>0.1377944241468472</v>
      </c>
      <c r="G13" s="319">
        <f>AVERAGE('6.8'!G13,'6.9'!G13,'6.10'!G13)</f>
        <v>16.913405017921146</v>
      </c>
      <c r="H13" s="320">
        <f>MAX('6.8'!H13,'6.9'!H13,'6.10'!H13)</f>
        <v>24</v>
      </c>
      <c r="I13" s="320">
        <f>MIN('6.8'!I13,'6.9'!I13,'6.10'!I13)</f>
        <v>7.2</v>
      </c>
      <c r="J13" s="320">
        <f>AVERAGE('6.8'!J13,'6.9'!J13,'6.10'!J13)</f>
        <v>15.266666666666667</v>
      </c>
      <c r="K13" s="319">
        <f t="shared" si="1"/>
        <v>1.6467383512544789</v>
      </c>
    </row>
    <row r="14" spans="1:11" ht="14.1" customHeight="1">
      <c r="A14" s="153" t="s">
        <v>14</v>
      </c>
      <c r="B14" s="129">
        <f>'6.4'!D62</f>
        <v>131343</v>
      </c>
      <c r="C14" s="306">
        <f>'6.4'!E62</f>
        <v>38000.729999999996</v>
      </c>
      <c r="D14" s="129">
        <f>'6.4'!F62</f>
        <v>418850.98297299998</v>
      </c>
      <c r="E14" s="300">
        <f t="shared" si="0"/>
        <v>4.3090519195226891E-2</v>
      </c>
      <c r="F14" s="325">
        <f>'6.4'!H62</f>
        <v>-2.9300175271041846E-3</v>
      </c>
      <c r="G14" s="319">
        <f>AVERAGE('6.8'!G14,'6.9'!G14,'6.10'!G14)</f>
        <v>16.717455197132619</v>
      </c>
      <c r="H14" s="320">
        <f>MAX('6.8'!H14,'6.9'!H14,'6.10'!H14)</f>
        <v>24.3</v>
      </c>
      <c r="I14" s="320">
        <f>MIN('6.8'!I14,'6.9'!I14,'6.10'!I14)</f>
        <v>5.8</v>
      </c>
      <c r="J14" s="320">
        <f>AVERAGE('6.8'!J14,'6.9'!J14,'6.10'!J14)</f>
        <v>16.166666666666671</v>
      </c>
      <c r="K14" s="319">
        <f t="shared" si="1"/>
        <v>0.55078853046594745</v>
      </c>
    </row>
    <row r="15" spans="1:11" ht="14.1" customHeight="1">
      <c r="A15" s="153" t="s">
        <v>15</v>
      </c>
      <c r="B15" s="129">
        <f>'6.5'!D32</f>
        <v>153812</v>
      </c>
      <c r="C15" s="306">
        <f>'6.5'!E32</f>
        <v>39429.332999999999</v>
      </c>
      <c r="D15" s="129">
        <f>'6.5'!F32</f>
        <v>434551.24580999993</v>
      </c>
      <c r="E15" s="300">
        <f t="shared" si="0"/>
        <v>4.4705729627218319E-2</v>
      </c>
      <c r="F15" s="325">
        <f>'6.5'!H32</f>
        <v>-1.2953903691910166E-2</v>
      </c>
      <c r="G15" s="319">
        <f>AVERAGE('6.8'!G15,'6.9'!G15,'6.10'!G15)</f>
        <v>16.454157706093188</v>
      </c>
      <c r="H15" s="320">
        <f>MAX('6.8'!H15,'6.9'!H15,'6.10'!H15)</f>
        <v>25.6</v>
      </c>
      <c r="I15" s="320">
        <f>MIN('6.8'!I15,'6.9'!I15,'6.10'!I15)</f>
        <v>6.4</v>
      </c>
      <c r="J15" s="320">
        <f>AVERAGE('6.8'!J15,'6.9'!J15,'6.10'!J15)</f>
        <v>15.766666666666667</v>
      </c>
      <c r="K15" s="319">
        <f t="shared" si="1"/>
        <v>0.68749103942652035</v>
      </c>
    </row>
    <row r="16" spans="1:11" ht="14.1" customHeight="1">
      <c r="A16" s="153" t="s">
        <v>1</v>
      </c>
      <c r="B16" s="129">
        <f>'6.5'!D62</f>
        <v>369967</v>
      </c>
      <c r="C16" s="306">
        <f>'6.5'!E62</f>
        <v>51382.910974492006</v>
      </c>
      <c r="D16" s="129">
        <f>'6.5'!F62</f>
        <v>566628.50121961301</v>
      </c>
      <c r="E16" s="300">
        <f t="shared" si="0"/>
        <v>5.8293563345750359E-2</v>
      </c>
      <c r="F16" s="325">
        <f>'6.5'!H62</f>
        <v>-0.10279288281175301</v>
      </c>
      <c r="G16" s="319">
        <f>AVERAGE('6.8'!G16,'6.9'!G16,'6.10'!G16)</f>
        <v>18.744121863799283</v>
      </c>
      <c r="H16" s="320">
        <f>MAX('6.8'!H16,'6.9'!H16,'6.10'!H16)</f>
        <v>28.5</v>
      </c>
      <c r="I16" s="320">
        <f>MIN('6.8'!I16,'6.9'!I16,'6.10'!I16)</f>
        <v>8.6</v>
      </c>
      <c r="J16" s="320">
        <f>AVERAGE('6.8'!J16,'6.9'!J16,'6.10'!J16)</f>
        <v>17.100000000000005</v>
      </c>
      <c r="K16" s="319">
        <f t="shared" si="1"/>
        <v>1.6441218637992776</v>
      </c>
    </row>
    <row r="17" spans="1:16" ht="14.1" customHeight="1">
      <c r="A17" s="153" t="s">
        <v>16</v>
      </c>
      <c r="B17" s="129">
        <f>'6.6'!D32</f>
        <v>275368</v>
      </c>
      <c r="C17" s="306">
        <f>'6.6'!E32</f>
        <v>119326.75644454901</v>
      </c>
      <c r="D17" s="129">
        <f>'6.6'!F32</f>
        <v>1315215.862551396</v>
      </c>
      <c r="E17" s="300">
        <f t="shared" si="0"/>
        <v>0.13530667630017501</v>
      </c>
      <c r="F17" s="325">
        <f>'6.6'!H32</f>
        <v>-7.0271340931907414E-2</v>
      </c>
      <c r="G17" s="319">
        <f>AVERAGE('6.8'!G17,'6.9'!G17,'6.10'!G17)</f>
        <v>17.21448028673835</v>
      </c>
      <c r="H17" s="320">
        <f>MAX('6.8'!H17,'6.9'!H17,'6.10'!H17)</f>
        <v>26</v>
      </c>
      <c r="I17" s="320">
        <f>MIN('6.8'!I17,'6.9'!I17,'6.10'!I17)</f>
        <v>6.4</v>
      </c>
      <c r="J17" s="320">
        <f>AVERAGE('6.8'!J17,'6.9'!J17,'6.10'!J17)</f>
        <v>16.7</v>
      </c>
      <c r="K17" s="319">
        <f t="shared" si="1"/>
        <v>0.51448028673835111</v>
      </c>
      <c r="L17" s="93"/>
      <c r="N17" s="93"/>
      <c r="O17" s="93"/>
      <c r="P17" s="93"/>
    </row>
    <row r="18" spans="1:16" ht="14.1" customHeight="1">
      <c r="A18" s="153" t="s">
        <v>17</v>
      </c>
      <c r="B18" s="129">
        <f>'6.6'!D62</f>
        <v>213528</v>
      </c>
      <c r="C18" s="306">
        <f>'6.6'!E62</f>
        <v>174634.079</v>
      </c>
      <c r="D18" s="129">
        <f>'6.6'!F62</f>
        <v>1924357.1360550001</v>
      </c>
      <c r="E18" s="300">
        <f t="shared" si="0"/>
        <v>0.19797386536155062</v>
      </c>
      <c r="F18" s="325">
        <f>'6.6'!H62</f>
        <v>-0.11897864752381414</v>
      </c>
      <c r="G18" s="319">
        <f>AVERAGE('6.8'!G18,'6.9'!G18,'6.10'!G18)</f>
        <v>16.632795698924731</v>
      </c>
      <c r="H18" s="320">
        <f>MAX('6.8'!H18,'6.9'!H18,'6.10'!H18)</f>
        <v>25.7</v>
      </c>
      <c r="I18" s="320">
        <f>MIN('6.8'!I18,'6.9'!I18,'6.10'!I18)</f>
        <v>7.1</v>
      </c>
      <c r="J18" s="320">
        <f>AVERAGE('6.8'!J18,'6.9'!J18,'6.10'!J18)</f>
        <v>16.733333333333331</v>
      </c>
      <c r="K18" s="319">
        <f t="shared" si="1"/>
        <v>-0.10053763440859953</v>
      </c>
      <c r="L18" s="93"/>
      <c r="N18" s="93"/>
      <c r="O18" s="93"/>
      <c r="P18" s="93"/>
    </row>
    <row r="19" spans="1:16" ht="14.1" customHeight="1">
      <c r="A19" s="153" t="s">
        <v>18</v>
      </c>
      <c r="B19" s="129">
        <f>'6.7'!D32</f>
        <v>116371</v>
      </c>
      <c r="C19" s="306">
        <f>'6.7'!E32</f>
        <v>30568.623949000004</v>
      </c>
      <c r="D19" s="129">
        <f>'6.7'!F32</f>
        <v>337007.82027199998</v>
      </c>
      <c r="E19" s="300">
        <f t="shared" si="0"/>
        <v>3.4670664600799796E-2</v>
      </c>
      <c r="F19" s="325">
        <f>'6.7'!H32</f>
        <v>2.6811306881947456E-2</v>
      </c>
      <c r="G19" s="319">
        <f>AVERAGE('6.8'!G19,'6.9'!G19,'6.10'!G19)</f>
        <v>16.41458781362007</v>
      </c>
      <c r="H19" s="320">
        <f>MAX('6.8'!H19,'6.9'!H19,'6.10'!H19)</f>
        <v>24.1</v>
      </c>
      <c r="I19" s="320">
        <f>MIN('6.8'!I19,'6.9'!I19,'6.10'!I19)</f>
        <v>4.5</v>
      </c>
      <c r="J19" s="320">
        <f>AVERAGE('6.8'!J19,'6.9'!J19,'6.10'!J19)</f>
        <v>15.366666666666665</v>
      </c>
      <c r="K19" s="319">
        <f t="shared" si="1"/>
        <v>1.0479211469534047</v>
      </c>
      <c r="L19" s="93"/>
      <c r="N19" s="93"/>
      <c r="O19" s="93"/>
      <c r="P19" s="93"/>
    </row>
    <row r="20" spans="1:16" ht="14.1" customHeight="1">
      <c r="A20" s="203" t="s">
        <v>19</v>
      </c>
      <c r="B20" s="303">
        <f>'6.7'!D62</f>
        <v>150332</v>
      </c>
      <c r="C20" s="307">
        <f>'6.7'!E62</f>
        <v>44939.599999999991</v>
      </c>
      <c r="D20" s="303">
        <f>'6.7'!F62</f>
        <v>495255.77766999998</v>
      </c>
      <c r="E20" s="304">
        <f t="shared" si="0"/>
        <v>5.0950885784627205E-2</v>
      </c>
      <c r="F20" s="326">
        <f>'6.7'!H62</f>
        <v>0.11113418783131547</v>
      </c>
      <c r="G20" s="321">
        <f>AVERAGE('6.8'!G20,'6.9'!G20,'6.10'!G20)</f>
        <v>16.768960573476697</v>
      </c>
      <c r="H20" s="322">
        <f>MAX('6.8'!H20,'6.9'!H20,'6.10'!H20)</f>
        <v>25.1</v>
      </c>
      <c r="I20" s="322">
        <f>MIN('6.8'!I20,'6.9'!I20,'6.10'!I20)</f>
        <v>7</v>
      </c>
      <c r="J20" s="322">
        <f>AVERAGE('6.8'!J20,'6.9'!J20,'6.10'!J20)</f>
        <v>16.599999999999994</v>
      </c>
      <c r="K20" s="321">
        <f t="shared" si="1"/>
        <v>0.16896057347670279</v>
      </c>
      <c r="L20" s="93"/>
    </row>
    <row r="21" spans="1:16" ht="14.1" customHeight="1">
      <c r="A21" s="153" t="s">
        <v>0</v>
      </c>
      <c r="B21" s="155">
        <f>SUM(B7:B20)</f>
        <v>2706001</v>
      </c>
      <c r="C21" s="306">
        <f>SUM(C7:C20)</f>
        <v>881883.578419041</v>
      </c>
      <c r="D21" s="129">
        <f>SUM(D7:D20)</f>
        <v>9720258.4418940078</v>
      </c>
      <c r="E21" s="360">
        <f>SUM(E7:E20)</f>
        <v>1</v>
      </c>
      <c r="F21" s="325"/>
      <c r="G21" s="255">
        <f>AVERAGE('6.8'!G21,'6.9'!G21,'6.10'!G21)</f>
        <v>16.720430107526884</v>
      </c>
      <c r="H21" s="255">
        <f>MAX('6.8'!H21,'6.9'!H21,'6.10'!H21)</f>
        <v>24.7</v>
      </c>
      <c r="I21" s="255">
        <f>MIN('6.8'!I21,'6.9'!I21,'6.10'!I21)</f>
        <v>6.3</v>
      </c>
      <c r="J21" s="255">
        <f>AVERAGE('6.8'!J21,'6.9'!J21,'6.10'!J21)</f>
        <v>16.745806451612903</v>
      </c>
      <c r="K21" s="255">
        <f t="shared" si="1"/>
        <v>-2.5376344086019742E-2</v>
      </c>
      <c r="M21" s="105"/>
    </row>
    <row r="22" spans="1:16" ht="14.1" customHeight="1">
      <c r="A22" s="203" t="s">
        <v>91</v>
      </c>
      <c r="B22" s="361"/>
      <c r="C22" s="307">
        <f>'5.1'!E34</f>
        <v>1693.9601788600005</v>
      </c>
      <c r="D22" s="303">
        <f>'5.1'!F34</f>
        <v>19003.327995999964</v>
      </c>
      <c r="E22" s="361"/>
      <c r="F22" s="326">
        <f>'5.1'!H34</f>
        <v>-1.6204993619633923</v>
      </c>
      <c r="G22" s="261">
        <f>AVERAGE('6.8'!G22,'6.9'!G22,'6.10'!G22)</f>
        <v>16.720430107526884</v>
      </c>
      <c r="H22" s="261">
        <f>MAX('6.8'!H22,'6.9'!H22,'6.10'!H22)</f>
        <v>24.7</v>
      </c>
      <c r="I22" s="261">
        <f>MIN('6.8'!I22,'6.9'!I22,'6.10'!I22)</f>
        <v>6.3</v>
      </c>
      <c r="J22" s="261">
        <f>AVERAGE('6.8'!J22,'6.9'!J22,'6.10'!J22)</f>
        <v>16.745806451612903</v>
      </c>
      <c r="K22" s="261">
        <f t="shared" si="1"/>
        <v>-2.5376344086019742E-2</v>
      </c>
    </row>
    <row r="23" spans="1:16" ht="14.1" customHeight="1">
      <c r="A23" s="203" t="s">
        <v>54</v>
      </c>
      <c r="B23" s="160">
        <f>B21+B22</f>
        <v>2706001</v>
      </c>
      <c r="C23" s="307">
        <f t="shared" ref="C23:D23" si="2">C21+C22</f>
        <v>883577.538597901</v>
      </c>
      <c r="D23" s="303">
        <f t="shared" si="2"/>
        <v>9739261.7698900085</v>
      </c>
      <c r="E23" s="361"/>
      <c r="F23" s="326">
        <f>'5.1'!H35</f>
        <v>-3.3586343911076819E-3</v>
      </c>
      <c r="G23" s="261">
        <f>AVERAGE('6.8'!G23,'6.9'!G23,'6.10'!G23)</f>
        <v>16.720430107526884</v>
      </c>
      <c r="H23" s="261">
        <f>MAX('6.8'!H23,'6.9'!H23,'6.10'!H23)</f>
        <v>24.7</v>
      </c>
      <c r="I23" s="261">
        <f>MIN('6.8'!I23,'6.9'!I23,'6.10'!I23)</f>
        <v>6.3</v>
      </c>
      <c r="J23" s="261">
        <f>AVERAGE('6.8'!J23,'6.9'!J23,'6.10'!J23)</f>
        <v>16.745806451612903</v>
      </c>
      <c r="K23" s="261">
        <f t="shared" si="1"/>
        <v>-2.5376344086019742E-2</v>
      </c>
    </row>
    <row r="24" spans="1:16" ht="15" customHeight="1">
      <c r="A24" s="101"/>
      <c r="B24" s="94"/>
      <c r="C24" s="513" t="s">
        <v>230</v>
      </c>
      <c r="D24" s="513"/>
      <c r="E24" s="513"/>
      <c r="F24" s="513"/>
      <c r="G24" s="516" t="s">
        <v>228</v>
      </c>
      <c r="H24" s="516"/>
      <c r="I24" s="516"/>
      <c r="J24" s="516"/>
      <c r="K24" s="516"/>
    </row>
    <row r="25" spans="1:16" ht="15" customHeight="1">
      <c r="A25" s="94"/>
      <c r="B25" s="94"/>
      <c r="C25" s="513"/>
      <c r="D25" s="513"/>
      <c r="E25" s="513"/>
      <c r="F25" s="513"/>
      <c r="G25" s="516" t="s">
        <v>229</v>
      </c>
      <c r="H25" s="516"/>
      <c r="I25" s="516"/>
      <c r="J25" s="516"/>
      <c r="K25" s="51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77" t="s">
        <v>243</v>
      </c>
      <c r="B29" s="477"/>
      <c r="C29" s="477"/>
      <c r="D29" s="477"/>
      <c r="E29" s="477"/>
      <c r="F29" s="477" t="s">
        <v>60</v>
      </c>
      <c r="G29" s="477"/>
      <c r="H29" s="477"/>
      <c r="I29" s="477"/>
      <c r="J29" s="477"/>
      <c r="K29" s="477"/>
    </row>
    <row r="30" spans="1:16" ht="15" customHeight="1">
      <c r="A30" s="120"/>
      <c r="B30" s="519"/>
      <c r="C30" s="519"/>
      <c r="D30" s="120"/>
      <c r="E30" s="120"/>
      <c r="F30" s="120"/>
      <c r="G30" s="120"/>
      <c r="H30" s="519"/>
      <c r="I30" s="51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T7" sqref="T7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50" t="s">
        <v>294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</row>
    <row r="2" spans="1:22" ht="6" customHeight="1">
      <c r="A2" s="523"/>
      <c r="B2" s="524"/>
      <c r="C2" s="524"/>
      <c r="D2" s="524"/>
      <c r="E2" s="524"/>
      <c r="F2" s="524"/>
      <c r="G2" s="524"/>
      <c r="H2" s="524"/>
      <c r="I2" s="524"/>
      <c r="J2" s="207"/>
      <c r="K2" s="206"/>
      <c r="L2" s="206"/>
      <c r="M2" s="206"/>
      <c r="N2" s="206"/>
      <c r="O2" s="206"/>
      <c r="P2" s="206"/>
      <c r="Q2" s="206"/>
      <c r="R2" s="206"/>
    </row>
    <row r="3" spans="1:22" ht="35.1" customHeight="1">
      <c r="A3" s="446" t="s">
        <v>262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</row>
    <row r="4" spans="1:22" ht="84.95" customHeight="1">
      <c r="A4" s="217">
        <f>'3.1'!A4</f>
        <v>2025</v>
      </c>
      <c r="B4" s="363" t="s">
        <v>66</v>
      </c>
      <c r="C4" s="363" t="s">
        <v>67</v>
      </c>
      <c r="D4" s="363" t="s">
        <v>68</v>
      </c>
      <c r="E4" s="363" t="s">
        <v>88</v>
      </c>
      <c r="F4" s="363" t="s">
        <v>69</v>
      </c>
      <c r="G4" s="363" t="s">
        <v>70</v>
      </c>
      <c r="H4" s="363" t="s">
        <v>71</v>
      </c>
      <c r="I4" s="363" t="s">
        <v>72</v>
      </c>
      <c r="J4" s="363" t="s">
        <v>73</v>
      </c>
      <c r="K4" s="363" t="s">
        <v>74</v>
      </c>
      <c r="L4" s="363" t="s">
        <v>75</v>
      </c>
      <c r="M4" s="363" t="s">
        <v>76</v>
      </c>
      <c r="N4" s="363" t="s">
        <v>77</v>
      </c>
      <c r="O4" s="363" t="s">
        <v>78</v>
      </c>
      <c r="P4" s="363" t="s">
        <v>79</v>
      </c>
      <c r="Q4" s="363" t="s">
        <v>92</v>
      </c>
      <c r="R4" s="363" t="s">
        <v>80</v>
      </c>
    </row>
    <row r="5" spans="1:22" ht="20.100000000000001" customHeight="1">
      <c r="A5" s="175" t="s">
        <v>157</v>
      </c>
      <c r="B5" s="234">
        <v>37256.678039999999</v>
      </c>
      <c r="C5" s="234">
        <v>141133.5</v>
      </c>
      <c r="D5" s="235">
        <v>29540.6</v>
      </c>
      <c r="E5" s="235">
        <v>43794.3</v>
      </c>
      <c r="F5" s="235">
        <v>41687.200000000004</v>
      </c>
      <c r="G5" s="235">
        <v>109324.60500000001</v>
      </c>
      <c r="H5" s="235">
        <v>66737.3</v>
      </c>
      <c r="I5" s="235">
        <v>44548.672999999995</v>
      </c>
      <c r="J5" s="235">
        <v>46312.399999999994</v>
      </c>
      <c r="K5" s="234">
        <v>106884.13654485799</v>
      </c>
      <c r="L5" s="234">
        <v>137296.237311462</v>
      </c>
      <c r="M5" s="235">
        <v>121581.201</v>
      </c>
      <c r="N5" s="235">
        <v>41604.536961000005</v>
      </c>
      <c r="O5" s="235">
        <v>55616.5</v>
      </c>
      <c r="P5" s="235">
        <v>1023317.86785732</v>
      </c>
      <c r="Q5" s="235">
        <v>20805.278011936</v>
      </c>
      <c r="R5" s="235">
        <v>1044123.145869256</v>
      </c>
      <c r="S5" s="56"/>
      <c r="T5" s="57"/>
      <c r="U5" s="57"/>
      <c r="V5" s="57"/>
    </row>
    <row r="6" spans="1:22" ht="20.100000000000001" customHeight="1">
      <c r="A6" s="175" t="s">
        <v>158</v>
      </c>
      <c r="B6" s="234">
        <v>33825.753743000001</v>
      </c>
      <c r="C6" s="235">
        <v>126072.59999999999</v>
      </c>
      <c r="D6" s="235">
        <v>27151.1</v>
      </c>
      <c r="E6" s="235">
        <v>39343.199999999997</v>
      </c>
      <c r="F6" s="235">
        <v>38428.899999999994</v>
      </c>
      <c r="G6" s="235">
        <v>102835.11199999999</v>
      </c>
      <c r="H6" s="235">
        <v>60696.7</v>
      </c>
      <c r="I6" s="235">
        <v>41011.747000000003</v>
      </c>
      <c r="J6" s="235">
        <v>43754.5</v>
      </c>
      <c r="K6" s="234">
        <v>98054.150130660011</v>
      </c>
      <c r="L6" s="235">
        <v>126087.01534562701</v>
      </c>
      <c r="M6" s="235">
        <v>117273.539</v>
      </c>
      <c r="N6" s="235">
        <v>38037.288257000007</v>
      </c>
      <c r="O6" s="235">
        <v>50971.1</v>
      </c>
      <c r="P6" s="235">
        <v>943542.70547628705</v>
      </c>
      <c r="Q6" s="235">
        <v>18395.061365697002</v>
      </c>
      <c r="R6" s="235">
        <v>961937.766841984</v>
      </c>
      <c r="S6" s="58"/>
      <c r="T6" s="57"/>
      <c r="U6" s="57"/>
      <c r="V6" s="57"/>
    </row>
    <row r="7" spans="1:22" ht="20.100000000000001" customHeight="1">
      <c r="A7" s="178" t="s">
        <v>159</v>
      </c>
      <c r="B7" s="237">
        <v>27109.894802999996</v>
      </c>
      <c r="C7" s="238">
        <v>93327.699999999983</v>
      </c>
      <c r="D7" s="238">
        <v>20444.699999999997</v>
      </c>
      <c r="E7" s="238">
        <v>29621.599999999999</v>
      </c>
      <c r="F7" s="238">
        <v>28676.5</v>
      </c>
      <c r="G7" s="238">
        <v>83130.546999999991</v>
      </c>
      <c r="H7" s="238">
        <v>44447.199999999997</v>
      </c>
      <c r="I7" s="238">
        <v>32208.328999999998</v>
      </c>
      <c r="J7" s="238">
        <v>34136</v>
      </c>
      <c r="K7" s="237">
        <v>72195.312303159008</v>
      </c>
      <c r="L7" s="238">
        <v>97475.939556069003</v>
      </c>
      <c r="M7" s="238">
        <v>106606.49400000001</v>
      </c>
      <c r="N7" s="238">
        <v>29053.104196</v>
      </c>
      <c r="O7" s="238">
        <v>36862.199999999997</v>
      </c>
      <c r="P7" s="238">
        <v>735295.52085822809</v>
      </c>
      <c r="Q7" s="238">
        <v>15699.913977439996</v>
      </c>
      <c r="R7" s="238">
        <v>750995.43483566807</v>
      </c>
      <c r="S7" s="59"/>
      <c r="T7" s="57"/>
      <c r="U7" s="57"/>
      <c r="V7" s="57"/>
    </row>
    <row r="8" spans="1:22" ht="20.100000000000001" customHeight="1">
      <c r="A8" s="175" t="s">
        <v>160</v>
      </c>
      <c r="B8" s="234">
        <v>17811.713689999997</v>
      </c>
      <c r="C8" s="235">
        <v>55927.899999999994</v>
      </c>
      <c r="D8" s="235">
        <v>14387.000000000002</v>
      </c>
      <c r="E8" s="235">
        <v>19064.699999999997</v>
      </c>
      <c r="F8" s="235">
        <v>17992.400000000001</v>
      </c>
      <c r="G8" s="235">
        <v>57956.154999999999</v>
      </c>
      <c r="H8" s="235">
        <v>28525.4</v>
      </c>
      <c r="I8" s="235">
        <v>22208.190999999999</v>
      </c>
      <c r="J8" s="235">
        <v>22581.3</v>
      </c>
      <c r="K8" s="234">
        <v>41713.398638147999</v>
      </c>
      <c r="L8" s="235">
        <v>61757.100059243006</v>
      </c>
      <c r="M8" s="235">
        <v>93331.968999999997</v>
      </c>
      <c r="N8" s="235">
        <v>19415.801309999999</v>
      </c>
      <c r="O8" s="235">
        <v>24395.699999999997</v>
      </c>
      <c r="P8" s="235">
        <v>497068.72869739099</v>
      </c>
      <c r="Q8" s="235">
        <v>5829.4554350019998</v>
      </c>
      <c r="R8" s="235">
        <v>502898.18413239298</v>
      </c>
      <c r="S8" s="58"/>
      <c r="T8" s="57"/>
      <c r="U8" s="57"/>
      <c r="V8" s="57"/>
    </row>
    <row r="9" spans="1:22" ht="20.100000000000001" customHeight="1">
      <c r="A9" s="175" t="s">
        <v>161</v>
      </c>
      <c r="B9" s="234">
        <v>14641.706040999998</v>
      </c>
      <c r="C9" s="235">
        <v>41762.5</v>
      </c>
      <c r="D9" s="235">
        <v>12275.199999999999</v>
      </c>
      <c r="E9" s="235">
        <v>15927.5</v>
      </c>
      <c r="F9" s="235">
        <v>15535.499999999998</v>
      </c>
      <c r="G9" s="235">
        <v>51314.402999999998</v>
      </c>
      <c r="H9" s="235">
        <v>23382.199999999997</v>
      </c>
      <c r="I9" s="235">
        <v>18492.133999999998</v>
      </c>
      <c r="J9" s="235">
        <v>18730.800000000003</v>
      </c>
      <c r="K9" s="234">
        <v>30428.436423093</v>
      </c>
      <c r="L9" s="235">
        <v>50889.21917227099</v>
      </c>
      <c r="M9" s="235">
        <v>81180.97600000001</v>
      </c>
      <c r="N9" s="235">
        <v>15460.124959000001</v>
      </c>
      <c r="O9" s="235">
        <v>19638</v>
      </c>
      <c r="P9" s="235">
        <v>409658.69959536399</v>
      </c>
      <c r="Q9" s="235">
        <v>4985.1887188109995</v>
      </c>
      <c r="R9" s="235">
        <v>414643.88831417501</v>
      </c>
      <c r="S9" s="58"/>
      <c r="T9" s="57"/>
      <c r="U9" s="57"/>
      <c r="V9" s="57"/>
    </row>
    <row r="10" spans="1:22" ht="20.100000000000001" customHeight="1">
      <c r="A10" s="178" t="s">
        <v>162</v>
      </c>
      <c r="B10" s="237">
        <v>10128.865609999999</v>
      </c>
      <c r="C10" s="238">
        <v>26274.699999999997</v>
      </c>
      <c r="D10" s="238">
        <v>11051.5</v>
      </c>
      <c r="E10" s="238">
        <v>10636.800000000001</v>
      </c>
      <c r="F10" s="238">
        <v>9641.7000000000007</v>
      </c>
      <c r="G10" s="238">
        <v>40124.402999999998</v>
      </c>
      <c r="H10" s="238">
        <v>16992.199999999997</v>
      </c>
      <c r="I10" s="238">
        <v>12614.341999999999</v>
      </c>
      <c r="J10" s="238">
        <v>12878.300000000001</v>
      </c>
      <c r="K10" s="237">
        <v>16667.889657903001</v>
      </c>
      <c r="L10" s="238">
        <v>39266.392835058999</v>
      </c>
      <c r="M10" s="238">
        <v>68056.981</v>
      </c>
      <c r="N10" s="238">
        <v>9852.6223899999986</v>
      </c>
      <c r="O10" s="238">
        <v>14005.2</v>
      </c>
      <c r="P10" s="238">
        <v>298191.89649296197</v>
      </c>
      <c r="Q10" s="238">
        <v>1217.3058910059997</v>
      </c>
      <c r="R10" s="238">
        <v>299409.20238396799</v>
      </c>
      <c r="S10" s="58"/>
      <c r="T10" s="57"/>
      <c r="U10" s="57"/>
      <c r="V10" s="57"/>
    </row>
    <row r="11" spans="1:22" ht="20.100000000000001" customHeight="1">
      <c r="A11" s="175" t="s">
        <v>163</v>
      </c>
      <c r="B11" s="234">
        <v>9845.691988999999</v>
      </c>
      <c r="C11" s="235">
        <v>25569.9</v>
      </c>
      <c r="D11" s="235">
        <v>10653.1</v>
      </c>
      <c r="E11" s="235">
        <v>9476.5</v>
      </c>
      <c r="F11" s="235">
        <v>8829.9889999999996</v>
      </c>
      <c r="G11" s="235">
        <v>35992.459000000003</v>
      </c>
      <c r="H11" s="235">
        <v>18143.699999999997</v>
      </c>
      <c r="I11" s="235">
        <v>11921.272999999999</v>
      </c>
      <c r="J11" s="235">
        <v>12970.5</v>
      </c>
      <c r="K11" s="234">
        <v>15261.285950955</v>
      </c>
      <c r="L11" s="235">
        <v>37299.213812317998</v>
      </c>
      <c r="M11" s="235">
        <v>74042.599000000002</v>
      </c>
      <c r="N11" s="235">
        <v>9128.0740120000009</v>
      </c>
      <c r="O11" s="235">
        <v>15763.300000000001</v>
      </c>
      <c r="P11" s="235">
        <v>294897.58576427295</v>
      </c>
      <c r="Q11" s="235">
        <v>-2.5380758350001145</v>
      </c>
      <c r="R11" s="235">
        <v>294895.04768843798</v>
      </c>
      <c r="S11" s="58"/>
      <c r="T11" s="57"/>
      <c r="U11" s="57"/>
      <c r="V11" s="57"/>
    </row>
    <row r="12" spans="1:22" ht="20.100000000000001" customHeight="1">
      <c r="A12" s="175" t="s">
        <v>164</v>
      </c>
      <c r="B12" s="234">
        <v>11401.884931000001</v>
      </c>
      <c r="C12" s="235">
        <v>25344</v>
      </c>
      <c r="D12" s="235">
        <v>10971.300000000001</v>
      </c>
      <c r="E12" s="235">
        <v>10265.199999999999</v>
      </c>
      <c r="F12" s="235">
        <v>8857.4830000000002</v>
      </c>
      <c r="G12" s="235">
        <v>31642.938000000006</v>
      </c>
      <c r="H12" s="235">
        <v>17717.100000000002</v>
      </c>
      <c r="I12" s="235">
        <v>11942.308999999999</v>
      </c>
      <c r="J12" s="235">
        <v>11015.433000000001</v>
      </c>
      <c r="K12" s="234">
        <v>15231.328549622998</v>
      </c>
      <c r="L12" s="235">
        <v>38315.698606619997</v>
      </c>
      <c r="M12" s="235">
        <v>53187.364000000001</v>
      </c>
      <c r="N12" s="235">
        <v>9712.4420680000003</v>
      </c>
      <c r="O12" s="235">
        <v>13047.5</v>
      </c>
      <c r="P12" s="235">
        <v>268651.981155243</v>
      </c>
      <c r="Q12" s="235">
        <v>-234.82586685499862</v>
      </c>
      <c r="R12" s="235">
        <v>268417.15528838802</v>
      </c>
      <c r="S12" s="58"/>
      <c r="T12" s="57"/>
      <c r="U12" s="57"/>
      <c r="V12" s="57"/>
    </row>
    <row r="13" spans="1:22" ht="20.100000000000001" customHeight="1">
      <c r="A13" s="178" t="s">
        <v>165</v>
      </c>
      <c r="B13" s="237">
        <v>12040.513131</v>
      </c>
      <c r="C13" s="238">
        <v>31851.4</v>
      </c>
      <c r="D13" s="238">
        <v>15668.900000000001</v>
      </c>
      <c r="E13" s="238">
        <v>13057.100000000002</v>
      </c>
      <c r="F13" s="238">
        <v>11457.092999999999</v>
      </c>
      <c r="G13" s="238">
        <v>41225.993000000002</v>
      </c>
      <c r="H13" s="238">
        <v>23589.3</v>
      </c>
      <c r="I13" s="238">
        <v>14137.147999999999</v>
      </c>
      <c r="J13" s="238">
        <v>15443.399999999998</v>
      </c>
      <c r="K13" s="237">
        <v>20890.296473914001</v>
      </c>
      <c r="L13" s="238">
        <v>43711.844025611004</v>
      </c>
      <c r="M13" s="238">
        <v>47404.115999999995</v>
      </c>
      <c r="N13" s="238">
        <v>11728.107868999999</v>
      </c>
      <c r="O13" s="238">
        <v>16128.8</v>
      </c>
      <c r="P13" s="238">
        <v>318334.01149952499</v>
      </c>
      <c r="Q13" s="238">
        <v>1931.3241215499993</v>
      </c>
      <c r="R13" s="238">
        <v>320265.33562107501</v>
      </c>
      <c r="S13" s="58"/>
      <c r="T13" s="57"/>
      <c r="U13" s="57"/>
      <c r="V13" s="57"/>
    </row>
    <row r="14" spans="1:22" ht="20.100000000000001" customHeight="1">
      <c r="A14" s="175" t="s">
        <v>166</v>
      </c>
      <c r="B14" s="234"/>
      <c r="C14" s="235"/>
      <c r="D14" s="235"/>
      <c r="E14" s="235"/>
      <c r="F14" s="235"/>
      <c r="G14" s="235"/>
      <c r="H14" s="235"/>
      <c r="I14" s="235"/>
      <c r="J14" s="235"/>
      <c r="K14" s="234"/>
      <c r="L14" s="235"/>
      <c r="M14" s="235"/>
      <c r="N14" s="235"/>
      <c r="O14" s="235"/>
      <c r="P14" s="235"/>
      <c r="Q14" s="235"/>
      <c r="R14" s="235"/>
      <c r="S14" s="58"/>
      <c r="T14" s="57"/>
      <c r="U14" s="57"/>
      <c r="V14" s="57"/>
    </row>
    <row r="15" spans="1:22" ht="20.100000000000001" customHeight="1">
      <c r="A15" s="175" t="s">
        <v>167</v>
      </c>
      <c r="B15" s="234"/>
      <c r="C15" s="235"/>
      <c r="D15" s="235"/>
      <c r="E15" s="235"/>
      <c r="F15" s="235"/>
      <c r="G15" s="235"/>
      <c r="H15" s="235"/>
      <c r="I15" s="235"/>
      <c r="J15" s="235"/>
      <c r="K15" s="234"/>
      <c r="L15" s="235"/>
      <c r="M15" s="235"/>
      <c r="N15" s="235"/>
      <c r="O15" s="235"/>
      <c r="P15" s="235"/>
      <c r="Q15" s="235"/>
      <c r="R15" s="235"/>
      <c r="S15" s="58"/>
      <c r="T15" s="57"/>
      <c r="U15" s="57"/>
      <c r="V15" s="57"/>
    </row>
    <row r="16" spans="1:22" ht="20.100000000000001" customHeight="1">
      <c r="A16" s="178" t="s">
        <v>168</v>
      </c>
      <c r="B16" s="237"/>
      <c r="C16" s="238"/>
      <c r="D16" s="238"/>
      <c r="E16" s="238"/>
      <c r="F16" s="238"/>
      <c r="G16" s="238"/>
      <c r="H16" s="238"/>
      <c r="I16" s="238"/>
      <c r="J16" s="238"/>
      <c r="K16" s="237"/>
      <c r="L16" s="238"/>
      <c r="M16" s="238"/>
      <c r="N16" s="238"/>
      <c r="O16" s="238"/>
      <c r="P16" s="238"/>
      <c r="Q16" s="238"/>
      <c r="R16" s="238"/>
      <c r="S16" s="58"/>
      <c r="T16" s="57"/>
      <c r="U16" s="57"/>
      <c r="V16" s="57"/>
    </row>
    <row r="17" spans="1:22" ht="20.100000000000001" customHeight="1">
      <c r="A17" s="175" t="s">
        <v>47</v>
      </c>
      <c r="B17" s="234">
        <f>SUM(B5:B7)</f>
        <v>98192.32658600001</v>
      </c>
      <c r="C17" s="234">
        <f>SUM(C5:C7)</f>
        <v>360533.79999999993</v>
      </c>
      <c r="D17" s="234">
        <f t="shared" ref="D17:J17" si="0">SUM(D5:D7)</f>
        <v>77136.399999999994</v>
      </c>
      <c r="E17" s="234">
        <f t="shared" si="0"/>
        <v>112759.1</v>
      </c>
      <c r="F17" s="234">
        <f t="shared" si="0"/>
        <v>108792.6</v>
      </c>
      <c r="G17" s="234">
        <f t="shared" si="0"/>
        <v>295290.26399999997</v>
      </c>
      <c r="H17" s="234">
        <f t="shared" si="0"/>
        <v>171881.2</v>
      </c>
      <c r="I17" s="234">
        <f t="shared" si="0"/>
        <v>117768.749</v>
      </c>
      <c r="J17" s="234">
        <f t="shared" si="0"/>
        <v>124202.9</v>
      </c>
      <c r="K17" s="234">
        <f>SUM(K5:K7)</f>
        <v>277133.59897867701</v>
      </c>
      <c r="L17" s="234">
        <f t="shared" ref="L17:R17" si="1">SUM(L5:L7)</f>
        <v>360859.19221315801</v>
      </c>
      <c r="M17" s="234">
        <f t="shared" si="1"/>
        <v>345461.234</v>
      </c>
      <c r="N17" s="234">
        <f t="shared" si="1"/>
        <v>108694.92941400001</v>
      </c>
      <c r="O17" s="234">
        <f t="shared" si="1"/>
        <v>143449.79999999999</v>
      </c>
      <c r="P17" s="234">
        <f t="shared" si="1"/>
        <v>2702156.0941918353</v>
      </c>
      <c r="Q17" s="234">
        <f t="shared" si="1"/>
        <v>54900.253355073</v>
      </c>
      <c r="R17" s="234">
        <f t="shared" si="1"/>
        <v>2757056.3475469081</v>
      </c>
    </row>
    <row r="18" spans="1:22" ht="20.100000000000001" customHeight="1">
      <c r="A18" s="175" t="s">
        <v>55</v>
      </c>
      <c r="B18" s="234">
        <f>SUM(B8:B10)</f>
        <v>42582.285340999995</v>
      </c>
      <c r="C18" s="234">
        <f>SUM(C8:C10)</f>
        <v>123965.09999999999</v>
      </c>
      <c r="D18" s="234">
        <f t="shared" ref="D18:J18" si="2">SUM(D8:D10)</f>
        <v>37713.699999999997</v>
      </c>
      <c r="E18" s="234">
        <f t="shared" si="2"/>
        <v>45629</v>
      </c>
      <c r="F18" s="234">
        <f t="shared" si="2"/>
        <v>43169.600000000006</v>
      </c>
      <c r="G18" s="234">
        <f t="shared" si="2"/>
        <v>149394.96099999998</v>
      </c>
      <c r="H18" s="234">
        <f t="shared" si="2"/>
        <v>68899.799999999988</v>
      </c>
      <c r="I18" s="234">
        <f t="shared" si="2"/>
        <v>53314.666999999994</v>
      </c>
      <c r="J18" s="234">
        <f t="shared" si="2"/>
        <v>54190.400000000009</v>
      </c>
      <c r="K18" s="234">
        <f>SUM(K8:K10)</f>
        <v>88809.724719143996</v>
      </c>
      <c r="L18" s="234">
        <f t="shared" ref="L18:R18" si="3">SUM(L8:L10)</f>
        <v>151912.712066573</v>
      </c>
      <c r="M18" s="234">
        <f t="shared" si="3"/>
        <v>242569.92600000001</v>
      </c>
      <c r="N18" s="234">
        <f t="shared" si="3"/>
        <v>44728.548659</v>
      </c>
      <c r="O18" s="234">
        <f t="shared" si="3"/>
        <v>58038.899999999994</v>
      </c>
      <c r="P18" s="234">
        <f t="shared" si="3"/>
        <v>1204919.3247857171</v>
      </c>
      <c r="Q18" s="234">
        <f t="shared" si="3"/>
        <v>12031.950044818997</v>
      </c>
      <c r="R18" s="234">
        <f t="shared" si="3"/>
        <v>1216951.274830536</v>
      </c>
    </row>
    <row r="19" spans="1:22" ht="20.100000000000001" customHeight="1">
      <c r="A19" s="175" t="s">
        <v>62</v>
      </c>
      <c r="B19" s="234">
        <f>SUM(B11:B13)</f>
        <v>33288.090050999999</v>
      </c>
      <c r="C19" s="234">
        <f>SUM(C11:C13)</f>
        <v>82765.3</v>
      </c>
      <c r="D19" s="234">
        <f t="shared" ref="D19:J19" si="4">SUM(D11:D13)</f>
        <v>37293.300000000003</v>
      </c>
      <c r="E19" s="234">
        <f t="shared" si="4"/>
        <v>32798.800000000003</v>
      </c>
      <c r="F19" s="234">
        <f t="shared" si="4"/>
        <v>29144.565000000002</v>
      </c>
      <c r="G19" s="234">
        <f t="shared" si="4"/>
        <v>108861.39000000001</v>
      </c>
      <c r="H19" s="234">
        <f t="shared" si="4"/>
        <v>59450.100000000006</v>
      </c>
      <c r="I19" s="234">
        <f t="shared" si="4"/>
        <v>38000.729999999996</v>
      </c>
      <c r="J19" s="234">
        <f t="shared" si="4"/>
        <v>39429.332999999999</v>
      </c>
      <c r="K19" s="234">
        <f>SUM(K11:K13)</f>
        <v>51382.910974491999</v>
      </c>
      <c r="L19" s="234">
        <f t="shared" ref="L19:R19" si="5">SUM(L11:L13)</f>
        <v>119326.756444549</v>
      </c>
      <c r="M19" s="234">
        <f t="shared" si="5"/>
        <v>174634.079</v>
      </c>
      <c r="N19" s="234">
        <f t="shared" si="5"/>
        <v>30568.623949000001</v>
      </c>
      <c r="O19" s="234">
        <f t="shared" si="5"/>
        <v>44939.600000000006</v>
      </c>
      <c r="P19" s="234">
        <f t="shared" si="5"/>
        <v>881883.57841904089</v>
      </c>
      <c r="Q19" s="234">
        <f t="shared" si="5"/>
        <v>1693.9601788600005</v>
      </c>
      <c r="R19" s="234">
        <f t="shared" si="5"/>
        <v>883577.538597901</v>
      </c>
    </row>
    <row r="20" spans="1:22" ht="20.100000000000001" customHeight="1">
      <c r="A20" s="178" t="s">
        <v>56</v>
      </c>
      <c r="B20" s="398">
        <f>SUM(B14:B16)</f>
        <v>0</v>
      </c>
      <c r="C20" s="398">
        <f>SUM(C14:C16)</f>
        <v>0</v>
      </c>
      <c r="D20" s="398">
        <f t="shared" ref="D20:J20" si="6">SUM(D14:D16)</f>
        <v>0</v>
      </c>
      <c r="E20" s="398">
        <f t="shared" si="6"/>
        <v>0</v>
      </c>
      <c r="F20" s="398">
        <f t="shared" si="6"/>
        <v>0</v>
      </c>
      <c r="G20" s="398">
        <f t="shared" si="6"/>
        <v>0</v>
      </c>
      <c r="H20" s="398">
        <f t="shared" si="6"/>
        <v>0</v>
      </c>
      <c r="I20" s="398">
        <f t="shared" si="6"/>
        <v>0</v>
      </c>
      <c r="J20" s="398">
        <f t="shared" si="6"/>
        <v>0</v>
      </c>
      <c r="K20" s="398">
        <f>SUM(K14:K16)</f>
        <v>0</v>
      </c>
      <c r="L20" s="398">
        <f t="shared" ref="L20:R20" si="7">SUM(L14:L16)</f>
        <v>0</v>
      </c>
      <c r="M20" s="398">
        <f t="shared" si="7"/>
        <v>0</v>
      </c>
      <c r="N20" s="398">
        <f t="shared" si="7"/>
        <v>0</v>
      </c>
      <c r="O20" s="398">
        <f t="shared" si="7"/>
        <v>0</v>
      </c>
      <c r="P20" s="398">
        <f t="shared" si="7"/>
        <v>0</v>
      </c>
      <c r="Q20" s="398">
        <f t="shared" si="7"/>
        <v>0</v>
      </c>
      <c r="R20" s="398">
        <f t="shared" si="7"/>
        <v>0</v>
      </c>
    </row>
    <row r="21" spans="1:22" ht="20.100000000000001" customHeight="1">
      <c r="A21" s="175" t="s">
        <v>57</v>
      </c>
      <c r="B21" s="234">
        <f>SUM(B5:B10)</f>
        <v>140774.61192700002</v>
      </c>
      <c r="C21" s="234">
        <f>SUM(C5:C10)</f>
        <v>484498.89999999997</v>
      </c>
      <c r="D21" s="234">
        <f t="shared" ref="D21:J21" si="8">SUM(D5:D10)</f>
        <v>114850.09999999999</v>
      </c>
      <c r="E21" s="234">
        <f t="shared" si="8"/>
        <v>158388.09999999998</v>
      </c>
      <c r="F21" s="234">
        <f t="shared" si="8"/>
        <v>151962.20000000001</v>
      </c>
      <c r="G21" s="234">
        <f t="shared" si="8"/>
        <v>444685.22499999998</v>
      </c>
      <c r="H21" s="234">
        <f t="shared" si="8"/>
        <v>240781</v>
      </c>
      <c r="I21" s="234">
        <f t="shared" si="8"/>
        <v>171083.416</v>
      </c>
      <c r="J21" s="234">
        <f t="shared" si="8"/>
        <v>178393.3</v>
      </c>
      <c r="K21" s="234">
        <f>SUM(K5:K10)</f>
        <v>365943.323697821</v>
      </c>
      <c r="L21" s="234">
        <f t="shared" ref="L21:R21" si="9">SUM(L5:L10)</f>
        <v>512771.90427973098</v>
      </c>
      <c r="M21" s="234">
        <f t="shared" si="9"/>
        <v>588031.16</v>
      </c>
      <c r="N21" s="234">
        <f t="shared" si="9"/>
        <v>153423.47807300001</v>
      </c>
      <c r="O21" s="234">
        <f t="shared" si="9"/>
        <v>201488.7</v>
      </c>
      <c r="P21" s="234">
        <f t="shared" si="9"/>
        <v>3907075.4189775521</v>
      </c>
      <c r="Q21" s="234">
        <f t="shared" si="9"/>
        <v>66932.203399892009</v>
      </c>
      <c r="R21" s="234">
        <f t="shared" si="9"/>
        <v>3974007.6223774441</v>
      </c>
    </row>
    <row r="22" spans="1:22" ht="20.100000000000001" customHeight="1">
      <c r="A22" s="178" t="s">
        <v>58</v>
      </c>
      <c r="B22" s="398">
        <f>SUM(B11:B16)</f>
        <v>33288.090050999999</v>
      </c>
      <c r="C22" s="398">
        <f>SUM(C11:C16)</f>
        <v>82765.3</v>
      </c>
      <c r="D22" s="398">
        <f t="shared" ref="D22:J22" si="10">SUM(D11:D16)</f>
        <v>37293.300000000003</v>
      </c>
      <c r="E22" s="398">
        <f t="shared" si="10"/>
        <v>32798.800000000003</v>
      </c>
      <c r="F22" s="398">
        <f t="shared" si="10"/>
        <v>29144.565000000002</v>
      </c>
      <c r="G22" s="398">
        <f t="shared" si="10"/>
        <v>108861.39000000001</v>
      </c>
      <c r="H22" s="398">
        <f t="shared" si="10"/>
        <v>59450.100000000006</v>
      </c>
      <c r="I22" s="398">
        <f t="shared" si="10"/>
        <v>38000.729999999996</v>
      </c>
      <c r="J22" s="398">
        <f t="shared" si="10"/>
        <v>39429.332999999999</v>
      </c>
      <c r="K22" s="398">
        <f>SUM(K11:K16)</f>
        <v>51382.910974491999</v>
      </c>
      <c r="L22" s="398">
        <f t="shared" ref="L22:R22" si="11">SUM(L11:L16)</f>
        <v>119326.756444549</v>
      </c>
      <c r="M22" s="398">
        <f t="shared" si="11"/>
        <v>174634.079</v>
      </c>
      <c r="N22" s="398">
        <f t="shared" si="11"/>
        <v>30568.623949000001</v>
      </c>
      <c r="O22" s="398">
        <f t="shared" si="11"/>
        <v>44939.600000000006</v>
      </c>
      <c r="P22" s="398">
        <f t="shared" si="11"/>
        <v>881883.57841904089</v>
      </c>
      <c r="Q22" s="398">
        <f t="shared" si="11"/>
        <v>1693.9601788600005</v>
      </c>
      <c r="R22" s="398">
        <f t="shared" si="11"/>
        <v>883577.538597901</v>
      </c>
    </row>
    <row r="23" spans="1:22" ht="20.100000000000001" customHeight="1">
      <c r="A23" s="215" t="s">
        <v>169</v>
      </c>
      <c r="B23" s="401">
        <f>SUM(B5:B16)</f>
        <v>174062.701978</v>
      </c>
      <c r="C23" s="401">
        <f>SUM(C5:C16)</f>
        <v>567264.20000000007</v>
      </c>
      <c r="D23" s="401">
        <f t="shared" ref="D23:J23" si="12">SUM(D5:D16)</f>
        <v>152143.4</v>
      </c>
      <c r="E23" s="401">
        <f t="shared" si="12"/>
        <v>191186.9</v>
      </c>
      <c r="F23" s="401">
        <f t="shared" si="12"/>
        <v>181106.76500000001</v>
      </c>
      <c r="G23" s="401">
        <f t="shared" si="12"/>
        <v>553546.61499999999</v>
      </c>
      <c r="H23" s="401">
        <f t="shared" si="12"/>
        <v>300231.09999999998</v>
      </c>
      <c r="I23" s="401">
        <f t="shared" si="12"/>
        <v>209084.14599999998</v>
      </c>
      <c r="J23" s="401">
        <f t="shared" si="12"/>
        <v>217822.63299999997</v>
      </c>
      <c r="K23" s="401">
        <f>SUM(K5:K16)</f>
        <v>417326.23467231303</v>
      </c>
      <c r="L23" s="401">
        <f t="shared" ref="L23:R23" si="13">SUM(L5:L16)</f>
        <v>632098.66072427994</v>
      </c>
      <c r="M23" s="401">
        <f t="shared" si="13"/>
        <v>762665.23900000018</v>
      </c>
      <c r="N23" s="401">
        <f t="shared" si="13"/>
        <v>183992.10202200001</v>
      </c>
      <c r="O23" s="401">
        <f t="shared" si="13"/>
        <v>246428.3</v>
      </c>
      <c r="P23" s="401">
        <f t="shared" si="13"/>
        <v>4788958.997396593</v>
      </c>
      <c r="Q23" s="401">
        <f t="shared" si="13"/>
        <v>68626.163578752021</v>
      </c>
      <c r="R23" s="401">
        <f t="shared" si="13"/>
        <v>4857585.1609753445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46" t="s">
        <v>190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</row>
    <row r="30" spans="1:22" ht="84.95" customHeight="1">
      <c r="A30" s="217">
        <f>A4</f>
        <v>2025</v>
      </c>
      <c r="B30" s="363" t="s">
        <v>66</v>
      </c>
      <c r="C30" s="363" t="s">
        <v>67</v>
      </c>
      <c r="D30" s="363" t="s">
        <v>68</v>
      </c>
      <c r="E30" s="363" t="s">
        <v>88</v>
      </c>
      <c r="F30" s="363" t="s">
        <v>69</v>
      </c>
      <c r="G30" s="363" t="s">
        <v>70</v>
      </c>
      <c r="H30" s="363" t="s">
        <v>71</v>
      </c>
      <c r="I30" s="363" t="s">
        <v>72</v>
      </c>
      <c r="J30" s="363" t="s">
        <v>73</v>
      </c>
      <c r="K30" s="363" t="s">
        <v>74</v>
      </c>
      <c r="L30" s="363" t="s">
        <v>75</v>
      </c>
      <c r="M30" s="363" t="s">
        <v>76</v>
      </c>
      <c r="N30" s="363" t="s">
        <v>77</v>
      </c>
      <c r="O30" s="363" t="s">
        <v>78</v>
      </c>
      <c r="P30" s="363" t="s">
        <v>79</v>
      </c>
      <c r="Q30" s="363" t="s">
        <v>92</v>
      </c>
      <c r="R30" s="363" t="s">
        <v>80</v>
      </c>
    </row>
    <row r="31" spans="1:22" ht="20.100000000000001" customHeight="1">
      <c r="A31" s="175" t="s">
        <v>157</v>
      </c>
      <c r="B31" s="234">
        <v>406021.57530000003</v>
      </c>
      <c r="C31" s="234">
        <v>1533782.0348200002</v>
      </c>
      <c r="D31" s="235">
        <v>321036.83449000004</v>
      </c>
      <c r="E31" s="235">
        <v>475938.28691999998</v>
      </c>
      <c r="F31" s="235">
        <v>453034.24432000006</v>
      </c>
      <c r="G31" s="235">
        <v>1187857.5282419999</v>
      </c>
      <c r="H31" s="235">
        <v>725274.34296000004</v>
      </c>
      <c r="I31" s="235">
        <v>484138.22927400004</v>
      </c>
      <c r="J31" s="235">
        <v>503304.77796000004</v>
      </c>
      <c r="K31" s="234">
        <v>1165337.6160196601</v>
      </c>
      <c r="L31" s="234">
        <v>1492524.7323643889</v>
      </c>
      <c r="M31" s="235">
        <v>1322561.8648600001</v>
      </c>
      <c r="N31" s="235">
        <v>452291.720677</v>
      </c>
      <c r="O31" s="235">
        <v>604417.16125999996</v>
      </c>
      <c r="P31" s="235">
        <v>11127520.949467048</v>
      </c>
      <c r="Q31" s="235">
        <v>226238.25053800002</v>
      </c>
      <c r="R31" s="235">
        <v>11353759.200005049</v>
      </c>
      <c r="S31" s="56"/>
      <c r="T31" s="57"/>
      <c r="U31" s="57"/>
      <c r="V31" s="57"/>
    </row>
    <row r="32" spans="1:22" ht="20.100000000000001" customHeight="1">
      <c r="A32" s="175" t="s">
        <v>158</v>
      </c>
      <c r="B32" s="234">
        <v>367817.04743199999</v>
      </c>
      <c r="C32" s="235">
        <v>1367052.55336</v>
      </c>
      <c r="D32" s="235">
        <v>294409.99049</v>
      </c>
      <c r="E32" s="235">
        <v>426612.98679</v>
      </c>
      <c r="F32" s="235">
        <v>416693.70346999995</v>
      </c>
      <c r="G32" s="235">
        <v>1114824.4459260001</v>
      </c>
      <c r="H32" s="235">
        <v>658156.81129999994</v>
      </c>
      <c r="I32" s="235">
        <v>444706.60194099997</v>
      </c>
      <c r="J32" s="235">
        <v>474445.90480000002</v>
      </c>
      <c r="K32" s="234">
        <v>1067661.9823571499</v>
      </c>
      <c r="L32" s="235">
        <v>1367730.3208086612</v>
      </c>
      <c r="M32" s="235">
        <v>1274632.044975</v>
      </c>
      <c r="N32" s="235">
        <v>412591.93368499994</v>
      </c>
      <c r="O32" s="235">
        <v>552697.90856000001</v>
      </c>
      <c r="P32" s="235">
        <v>10240034.23589481</v>
      </c>
      <c r="Q32" s="235">
        <v>199590.37809900002</v>
      </c>
      <c r="R32" s="235">
        <v>10439624.61399381</v>
      </c>
      <c r="S32" s="58"/>
      <c r="T32" s="57"/>
      <c r="U32" s="57"/>
      <c r="V32" s="57"/>
    </row>
    <row r="33" spans="1:22" ht="20.100000000000001" customHeight="1">
      <c r="A33" s="178" t="s">
        <v>159</v>
      </c>
      <c r="B33" s="237">
        <v>297020.73647499998</v>
      </c>
      <c r="C33" s="238">
        <v>1017081.4171600001</v>
      </c>
      <c r="D33" s="238">
        <v>222805.23405999999</v>
      </c>
      <c r="E33" s="238">
        <v>322814.92757999996</v>
      </c>
      <c r="F33" s="238">
        <v>312510.02060000005</v>
      </c>
      <c r="G33" s="238">
        <v>905679.37196899997</v>
      </c>
      <c r="H33" s="238">
        <v>484384.98066</v>
      </c>
      <c r="I33" s="238">
        <v>351013.23623899999</v>
      </c>
      <c r="J33" s="238">
        <v>372012.94481000002</v>
      </c>
      <c r="K33" s="237">
        <v>789995.69235423207</v>
      </c>
      <c r="L33" s="238">
        <v>1062674.5019768369</v>
      </c>
      <c r="M33" s="238">
        <v>1163840.6923849999</v>
      </c>
      <c r="N33" s="238">
        <v>316823.67237699998</v>
      </c>
      <c r="O33" s="238">
        <v>401722.42722999997</v>
      </c>
      <c r="P33" s="238">
        <v>8020379.8558760677</v>
      </c>
      <c r="Q33" s="238">
        <v>171224.30429600005</v>
      </c>
      <c r="R33" s="238">
        <v>8191604.1601720676</v>
      </c>
      <c r="S33" s="59"/>
      <c r="T33" s="57"/>
      <c r="U33" s="57"/>
      <c r="V33" s="57"/>
    </row>
    <row r="34" spans="1:22" ht="20.100000000000001" customHeight="1">
      <c r="A34" s="175" t="s">
        <v>160</v>
      </c>
      <c r="B34" s="234">
        <v>195638.723757</v>
      </c>
      <c r="C34" s="235">
        <v>612692.06140000001</v>
      </c>
      <c r="D34" s="235">
        <v>157609.54542000001</v>
      </c>
      <c r="E34" s="235">
        <v>208855.65307</v>
      </c>
      <c r="F34" s="235">
        <v>197102.41549000001</v>
      </c>
      <c r="G34" s="235">
        <v>634691.55280200008</v>
      </c>
      <c r="H34" s="235">
        <v>312494.97625999997</v>
      </c>
      <c r="I34" s="235">
        <v>243283.452881</v>
      </c>
      <c r="J34" s="235">
        <v>247377.52087000001</v>
      </c>
      <c r="K34" s="234">
        <v>456932.81462704402</v>
      </c>
      <c r="L34" s="235">
        <v>676546.12872895086</v>
      </c>
      <c r="M34" s="235">
        <v>1022154.908757</v>
      </c>
      <c r="N34" s="235">
        <v>212764.05960099999</v>
      </c>
      <c r="O34" s="235">
        <v>267255.17535999999</v>
      </c>
      <c r="P34" s="235">
        <v>5445398.9890239947</v>
      </c>
      <c r="Q34" s="235">
        <v>63918.730587999984</v>
      </c>
      <c r="R34" s="235">
        <v>5509317.7196119949</v>
      </c>
      <c r="S34" s="58"/>
      <c r="T34" s="57"/>
      <c r="U34" s="57"/>
      <c r="V34" s="57"/>
    </row>
    <row r="35" spans="1:22" ht="20.100000000000001" customHeight="1">
      <c r="A35" s="175" t="s">
        <v>161</v>
      </c>
      <c r="B35" s="234">
        <v>161310.853432</v>
      </c>
      <c r="C35" s="235">
        <v>458368.48138000001</v>
      </c>
      <c r="D35" s="235">
        <v>134727.41201999999</v>
      </c>
      <c r="E35" s="235">
        <v>174814.60817000002</v>
      </c>
      <c r="F35" s="235">
        <v>170506.34797999999</v>
      </c>
      <c r="G35" s="235">
        <v>563002.62407999998</v>
      </c>
      <c r="H35" s="235">
        <v>256633.88137000002</v>
      </c>
      <c r="I35" s="235">
        <v>202964.21802299999</v>
      </c>
      <c r="J35" s="235">
        <v>205582.40002</v>
      </c>
      <c r="K35" s="234">
        <v>333507.94214011403</v>
      </c>
      <c r="L35" s="235">
        <v>558481.11351987801</v>
      </c>
      <c r="M35" s="235">
        <v>890803.20184999995</v>
      </c>
      <c r="N35" s="235">
        <v>169755.44761099998</v>
      </c>
      <c r="O35" s="235">
        <v>215538.68428999998</v>
      </c>
      <c r="P35" s="235">
        <v>4495997.2158859922</v>
      </c>
      <c r="Q35" s="235">
        <v>54735.385220000026</v>
      </c>
      <c r="R35" s="235">
        <v>4550732.6011059918</v>
      </c>
      <c r="S35" s="58"/>
      <c r="T35" s="57"/>
      <c r="U35" s="57"/>
      <c r="V35" s="57"/>
    </row>
    <row r="36" spans="1:22" ht="20.100000000000001" customHeight="1">
      <c r="A36" s="178" t="s">
        <v>162</v>
      </c>
      <c r="B36" s="237">
        <v>111070.83888600001</v>
      </c>
      <c r="C36" s="238">
        <v>287838.46025</v>
      </c>
      <c r="D36" s="238">
        <v>121068.54981</v>
      </c>
      <c r="E36" s="238">
        <v>116525.15465999999</v>
      </c>
      <c r="F36" s="238">
        <v>105620.64004000001</v>
      </c>
      <c r="G36" s="238">
        <v>439378.68482999998</v>
      </c>
      <c r="H36" s="238">
        <v>186149.06112999999</v>
      </c>
      <c r="I36" s="238">
        <v>138189.832417</v>
      </c>
      <c r="J36" s="238">
        <v>141080.92068000001</v>
      </c>
      <c r="K36" s="237">
        <v>182314.632881208</v>
      </c>
      <c r="L36" s="238">
        <v>430125.08405279304</v>
      </c>
      <c r="M36" s="238">
        <v>745007.51005300006</v>
      </c>
      <c r="N36" s="238">
        <v>107946.69681299999</v>
      </c>
      <c r="O36" s="238">
        <v>153426.04238999999</v>
      </c>
      <c r="P36" s="238">
        <v>3265742.108893001</v>
      </c>
      <c r="Q36" s="238">
        <v>13369.070580999982</v>
      </c>
      <c r="R36" s="238">
        <v>3279111.1794740008</v>
      </c>
      <c r="S36" s="58"/>
      <c r="T36" s="57"/>
      <c r="U36" s="57"/>
      <c r="V36" s="57"/>
    </row>
    <row r="37" spans="1:22" ht="20.100000000000001" customHeight="1">
      <c r="A37" s="175" t="s">
        <v>163</v>
      </c>
      <c r="B37" s="234">
        <v>108329.34511700002</v>
      </c>
      <c r="C37" s="235">
        <v>280929.31732999999</v>
      </c>
      <c r="D37" s="235">
        <v>117042.1149</v>
      </c>
      <c r="E37" s="235">
        <v>104115.40404000001</v>
      </c>
      <c r="F37" s="235">
        <v>97008.896479999996</v>
      </c>
      <c r="G37" s="235">
        <v>395293.2771500001</v>
      </c>
      <c r="H37" s="235">
        <v>199338.27625000002</v>
      </c>
      <c r="I37" s="235">
        <v>130973.89574800001</v>
      </c>
      <c r="J37" s="235">
        <v>142502.98478</v>
      </c>
      <c r="K37" s="234">
        <v>167294.28098744201</v>
      </c>
      <c r="L37" s="235">
        <v>409711.89231756201</v>
      </c>
      <c r="M37" s="235">
        <v>813871.34034699993</v>
      </c>
      <c r="N37" s="235">
        <v>100304.359692</v>
      </c>
      <c r="O37" s="235">
        <v>173186.42184</v>
      </c>
      <c r="P37" s="235">
        <v>3239901.8069790038</v>
      </c>
      <c r="Q37" s="235">
        <v>56.396474999993188</v>
      </c>
      <c r="R37" s="235">
        <v>3239958.2034540037</v>
      </c>
      <c r="S37" s="58"/>
      <c r="T37" s="57"/>
      <c r="U37" s="57"/>
      <c r="V37" s="57"/>
    </row>
    <row r="38" spans="1:22" ht="20.100000000000001" customHeight="1">
      <c r="A38" s="175" t="s">
        <v>164</v>
      </c>
      <c r="B38" s="234">
        <v>125834.106589</v>
      </c>
      <c r="C38" s="235">
        <v>279231.27129</v>
      </c>
      <c r="D38" s="235">
        <v>120876.74722999999</v>
      </c>
      <c r="E38" s="235">
        <v>113097.41432</v>
      </c>
      <c r="F38" s="235">
        <v>97583.933840000012</v>
      </c>
      <c r="G38" s="235">
        <v>348529.10949999996</v>
      </c>
      <c r="H38" s="235">
        <v>195199.96876000002</v>
      </c>
      <c r="I38" s="235">
        <v>131579.151292</v>
      </c>
      <c r="J38" s="235">
        <v>121308.94663999999</v>
      </c>
      <c r="K38" s="234">
        <v>168037.735902218</v>
      </c>
      <c r="L38" s="235">
        <v>422182.54974677903</v>
      </c>
      <c r="M38" s="235">
        <v>586428.32687500003</v>
      </c>
      <c r="N38" s="235">
        <v>107029.38077999998</v>
      </c>
      <c r="O38" s="235">
        <v>143752.80307999998</v>
      </c>
      <c r="P38" s="235">
        <v>2960671.4458449972</v>
      </c>
      <c r="Q38" s="235">
        <v>-2556.942092000013</v>
      </c>
      <c r="R38" s="235">
        <v>2958114.5037529971</v>
      </c>
      <c r="S38" s="58"/>
      <c r="T38" s="57"/>
      <c r="U38" s="57"/>
      <c r="V38" s="57"/>
    </row>
    <row r="39" spans="1:22" ht="20.100000000000001" customHeight="1">
      <c r="A39" s="178" t="s">
        <v>165</v>
      </c>
      <c r="B39" s="237">
        <v>133190.04280699999</v>
      </c>
      <c r="C39" s="238">
        <v>352143.57253</v>
      </c>
      <c r="D39" s="238">
        <v>173232.16219999999</v>
      </c>
      <c r="E39" s="238">
        <v>144357.68417999998</v>
      </c>
      <c r="F39" s="238">
        <v>126662.16012999999</v>
      </c>
      <c r="G39" s="238">
        <v>455597.41553</v>
      </c>
      <c r="H39" s="238">
        <v>260798.89516999997</v>
      </c>
      <c r="I39" s="238">
        <v>156297.935933</v>
      </c>
      <c r="J39" s="238">
        <v>170739.31439000001</v>
      </c>
      <c r="K39" s="237">
        <v>231296.484329953</v>
      </c>
      <c r="L39" s="238">
        <v>483321.42048705509</v>
      </c>
      <c r="M39" s="238">
        <v>524057.46883300005</v>
      </c>
      <c r="N39" s="238">
        <v>129674.07979999999</v>
      </c>
      <c r="O39" s="238">
        <v>178316.55275</v>
      </c>
      <c r="P39" s="238">
        <v>3519685.1890700073</v>
      </c>
      <c r="Q39" s="238">
        <v>21503.873612999989</v>
      </c>
      <c r="R39" s="238">
        <v>3541189.0626830072</v>
      </c>
      <c r="S39" s="58"/>
      <c r="T39" s="57"/>
      <c r="U39" s="57"/>
      <c r="V39" s="57"/>
    </row>
    <row r="40" spans="1:22" ht="20.100000000000001" customHeight="1">
      <c r="A40" s="175" t="s">
        <v>166</v>
      </c>
      <c r="B40" s="234"/>
      <c r="C40" s="235"/>
      <c r="D40" s="235"/>
      <c r="E40" s="235"/>
      <c r="F40" s="235"/>
      <c r="G40" s="235"/>
      <c r="H40" s="235"/>
      <c r="I40" s="235"/>
      <c r="J40" s="235"/>
      <c r="K40" s="234"/>
      <c r="L40" s="235"/>
      <c r="M40" s="235"/>
      <c r="N40" s="235"/>
      <c r="O40" s="235"/>
      <c r="P40" s="235"/>
      <c r="Q40" s="235"/>
      <c r="R40" s="235"/>
      <c r="S40" s="58"/>
      <c r="T40" s="57"/>
      <c r="U40" s="57"/>
      <c r="V40" s="57"/>
    </row>
    <row r="41" spans="1:22" ht="20.100000000000001" customHeight="1">
      <c r="A41" s="175" t="s">
        <v>167</v>
      </c>
      <c r="B41" s="234"/>
      <c r="C41" s="235"/>
      <c r="D41" s="235"/>
      <c r="E41" s="235"/>
      <c r="F41" s="235"/>
      <c r="G41" s="235"/>
      <c r="H41" s="235"/>
      <c r="I41" s="235"/>
      <c r="J41" s="235"/>
      <c r="K41" s="234"/>
      <c r="L41" s="235"/>
      <c r="M41" s="235"/>
      <c r="N41" s="235"/>
      <c r="O41" s="235"/>
      <c r="P41" s="235"/>
      <c r="Q41" s="235"/>
      <c r="R41" s="235"/>
      <c r="S41" s="58"/>
      <c r="T41" s="57"/>
      <c r="U41" s="57"/>
      <c r="V41" s="57"/>
    </row>
    <row r="42" spans="1:22" ht="20.100000000000001" customHeight="1">
      <c r="A42" s="178" t="s">
        <v>168</v>
      </c>
      <c r="B42" s="237"/>
      <c r="C42" s="238"/>
      <c r="D42" s="238"/>
      <c r="E42" s="238"/>
      <c r="F42" s="238"/>
      <c r="G42" s="238"/>
      <c r="H42" s="238"/>
      <c r="I42" s="238"/>
      <c r="J42" s="238"/>
      <c r="K42" s="237"/>
      <c r="L42" s="238"/>
      <c r="M42" s="238"/>
      <c r="N42" s="238"/>
      <c r="O42" s="238"/>
      <c r="P42" s="238"/>
      <c r="Q42" s="238"/>
      <c r="R42" s="238"/>
      <c r="S42" s="58"/>
      <c r="T42" s="57"/>
      <c r="U42" s="57"/>
      <c r="V42" s="57"/>
    </row>
    <row r="43" spans="1:22" ht="20.100000000000001" customHeight="1">
      <c r="A43" s="175" t="s">
        <v>47</v>
      </c>
      <c r="B43" s="234">
        <f>SUM(B31:B33)</f>
        <v>1070859.3592069999</v>
      </c>
      <c r="C43" s="234">
        <f>SUM(C31:C33)</f>
        <v>3917916.0053400001</v>
      </c>
      <c r="D43" s="234">
        <f t="shared" ref="D43:J43" si="14">SUM(D31:D33)</f>
        <v>838252.05903999996</v>
      </c>
      <c r="E43" s="234">
        <f t="shared" si="14"/>
        <v>1225366.20129</v>
      </c>
      <c r="F43" s="234">
        <f t="shared" si="14"/>
        <v>1182237.9683900001</v>
      </c>
      <c r="G43" s="234">
        <f t="shared" si="14"/>
        <v>3208361.3461369998</v>
      </c>
      <c r="H43" s="234">
        <f t="shared" si="14"/>
        <v>1867816.1349200001</v>
      </c>
      <c r="I43" s="234">
        <f t="shared" si="14"/>
        <v>1279858.067454</v>
      </c>
      <c r="J43" s="234">
        <f t="shared" si="14"/>
        <v>1349763.62757</v>
      </c>
      <c r="K43" s="234">
        <f>SUM(K31:K33)</f>
        <v>3022995.2907310422</v>
      </c>
      <c r="L43" s="234">
        <f t="shared" ref="L43:Q43" si="15">SUM(L31:L33)</f>
        <v>3922929.5551498872</v>
      </c>
      <c r="M43" s="234">
        <f t="shared" si="15"/>
        <v>3761034.6022199998</v>
      </c>
      <c r="N43" s="234">
        <f t="shared" si="15"/>
        <v>1181707.3267389999</v>
      </c>
      <c r="O43" s="234">
        <f t="shared" si="15"/>
        <v>1558837.4970499999</v>
      </c>
      <c r="P43" s="234">
        <f t="shared" si="15"/>
        <v>29387935.041237928</v>
      </c>
      <c r="Q43" s="234">
        <f t="shared" si="15"/>
        <v>597052.93293300015</v>
      </c>
      <c r="R43" s="234">
        <f>SUM(R31:R33)</f>
        <v>29984987.974170927</v>
      </c>
    </row>
    <row r="44" spans="1:22" ht="20.100000000000001" customHeight="1">
      <c r="A44" s="175" t="s">
        <v>55</v>
      </c>
      <c r="B44" s="234">
        <f>SUM(B34:B36)</f>
        <v>468020.41607499996</v>
      </c>
      <c r="C44" s="234">
        <f>SUM(C34:C36)</f>
        <v>1358899.00303</v>
      </c>
      <c r="D44" s="234">
        <f t="shared" ref="D44:J44" si="16">SUM(D34:D36)</f>
        <v>413405.50725000002</v>
      </c>
      <c r="E44" s="234">
        <f t="shared" si="16"/>
        <v>500195.41590000002</v>
      </c>
      <c r="F44" s="234">
        <f t="shared" si="16"/>
        <v>473229.40351000003</v>
      </c>
      <c r="G44" s="234">
        <f t="shared" si="16"/>
        <v>1637072.8617120001</v>
      </c>
      <c r="H44" s="234">
        <f t="shared" si="16"/>
        <v>755277.91876000003</v>
      </c>
      <c r="I44" s="234">
        <f t="shared" si="16"/>
        <v>584437.50332100003</v>
      </c>
      <c r="J44" s="234">
        <f t="shared" si="16"/>
        <v>594040.84157000005</v>
      </c>
      <c r="K44" s="234">
        <f>SUM(K34:K36)</f>
        <v>972755.38964836602</v>
      </c>
      <c r="L44" s="234">
        <f t="shared" ref="L44:Q44" si="17">SUM(L34:L36)</f>
        <v>1665152.326301622</v>
      </c>
      <c r="M44" s="234">
        <f t="shared" si="17"/>
        <v>2657965.62066</v>
      </c>
      <c r="N44" s="234">
        <f t="shared" si="17"/>
        <v>490466.20402499998</v>
      </c>
      <c r="O44" s="234">
        <f t="shared" si="17"/>
        <v>636219.90203999996</v>
      </c>
      <c r="P44" s="234">
        <f t="shared" si="17"/>
        <v>13207138.313802989</v>
      </c>
      <c r="Q44" s="234">
        <f t="shared" si="17"/>
        <v>132023.18638899998</v>
      </c>
      <c r="R44" s="234">
        <f>SUM(R34:R36)</f>
        <v>13339161.500191987</v>
      </c>
    </row>
    <row r="45" spans="1:22" ht="20.100000000000001" customHeight="1">
      <c r="A45" s="175" t="s">
        <v>62</v>
      </c>
      <c r="B45" s="234">
        <f>SUM(B37:B39)</f>
        <v>367353.49451300001</v>
      </c>
      <c r="C45" s="234">
        <f>SUM(C37:C39)</f>
        <v>912304.16115000006</v>
      </c>
      <c r="D45" s="234">
        <f t="shared" ref="D45:J45" si="18">SUM(D37:D39)</f>
        <v>411151.02432999999</v>
      </c>
      <c r="E45" s="234">
        <f t="shared" si="18"/>
        <v>361570.50254000002</v>
      </c>
      <c r="F45" s="234">
        <f t="shared" si="18"/>
        <v>321254.99044999998</v>
      </c>
      <c r="G45" s="234">
        <f t="shared" si="18"/>
        <v>1199419.8021800001</v>
      </c>
      <c r="H45" s="234">
        <f t="shared" si="18"/>
        <v>655337.1401800001</v>
      </c>
      <c r="I45" s="234">
        <f t="shared" si="18"/>
        <v>418850.98297299998</v>
      </c>
      <c r="J45" s="234">
        <f t="shared" si="18"/>
        <v>434551.24580999999</v>
      </c>
      <c r="K45" s="234">
        <f>SUM(K37:K39)</f>
        <v>566628.50121961301</v>
      </c>
      <c r="L45" s="234">
        <f t="shared" ref="L45:R45" si="19">SUM(L37:L39)</f>
        <v>1315215.8625513962</v>
      </c>
      <c r="M45" s="234">
        <f t="shared" si="19"/>
        <v>1924357.1360550001</v>
      </c>
      <c r="N45" s="234">
        <f t="shared" si="19"/>
        <v>337007.82027199998</v>
      </c>
      <c r="O45" s="234">
        <f t="shared" si="19"/>
        <v>495255.77766999998</v>
      </c>
      <c r="P45" s="234">
        <f t="shared" si="19"/>
        <v>9720258.4418940078</v>
      </c>
      <c r="Q45" s="234">
        <f t="shared" si="19"/>
        <v>19003.327995999971</v>
      </c>
      <c r="R45" s="234">
        <f t="shared" si="19"/>
        <v>9739261.7698900085</v>
      </c>
    </row>
    <row r="46" spans="1:22" ht="20.100000000000001" customHeight="1">
      <c r="A46" s="178" t="s">
        <v>56</v>
      </c>
      <c r="B46" s="398">
        <f>SUM(B40:B42)</f>
        <v>0</v>
      </c>
      <c r="C46" s="398">
        <f>SUM(C40:C42)</f>
        <v>0</v>
      </c>
      <c r="D46" s="398">
        <f t="shared" ref="D46:J46" si="20">SUM(D40:D42)</f>
        <v>0</v>
      </c>
      <c r="E46" s="398">
        <f t="shared" si="20"/>
        <v>0</v>
      </c>
      <c r="F46" s="398">
        <f t="shared" si="20"/>
        <v>0</v>
      </c>
      <c r="G46" s="398">
        <f t="shared" si="20"/>
        <v>0</v>
      </c>
      <c r="H46" s="398">
        <f t="shared" si="20"/>
        <v>0</v>
      </c>
      <c r="I46" s="398">
        <f t="shared" si="20"/>
        <v>0</v>
      </c>
      <c r="J46" s="398">
        <f t="shared" si="20"/>
        <v>0</v>
      </c>
      <c r="K46" s="398">
        <f>SUM(K40:K42)</f>
        <v>0</v>
      </c>
      <c r="L46" s="398">
        <f t="shared" ref="L46:R46" si="21">SUM(L40:L42)</f>
        <v>0</v>
      </c>
      <c r="M46" s="398">
        <f t="shared" si="21"/>
        <v>0</v>
      </c>
      <c r="N46" s="398">
        <f t="shared" si="21"/>
        <v>0</v>
      </c>
      <c r="O46" s="398">
        <f t="shared" si="21"/>
        <v>0</v>
      </c>
      <c r="P46" s="398">
        <f t="shared" si="21"/>
        <v>0</v>
      </c>
      <c r="Q46" s="398">
        <f t="shared" si="21"/>
        <v>0</v>
      </c>
      <c r="R46" s="398">
        <f t="shared" si="21"/>
        <v>0</v>
      </c>
    </row>
    <row r="47" spans="1:22" ht="20.100000000000001" customHeight="1">
      <c r="A47" s="175" t="s">
        <v>57</v>
      </c>
      <c r="B47" s="234">
        <f>SUM(B31:B36)</f>
        <v>1538879.7752819997</v>
      </c>
      <c r="C47" s="234">
        <f>SUM(C31:C36)</f>
        <v>5276815.0083700009</v>
      </c>
      <c r="D47" s="234">
        <f t="shared" ref="D47:J47" si="22">SUM(D31:D36)</f>
        <v>1251657.56629</v>
      </c>
      <c r="E47" s="234">
        <f t="shared" si="22"/>
        <v>1725561.6171900001</v>
      </c>
      <c r="F47" s="234">
        <f t="shared" si="22"/>
        <v>1655467.3719000001</v>
      </c>
      <c r="G47" s="234">
        <f t="shared" si="22"/>
        <v>4845434.2078489996</v>
      </c>
      <c r="H47" s="234">
        <f t="shared" si="22"/>
        <v>2623094.0536799999</v>
      </c>
      <c r="I47" s="234">
        <f t="shared" si="22"/>
        <v>1864295.5707750001</v>
      </c>
      <c r="J47" s="234">
        <f t="shared" si="22"/>
        <v>1943804.4691400002</v>
      </c>
      <c r="K47" s="234">
        <f>SUM(K31:K36)</f>
        <v>3995750.6803794079</v>
      </c>
      <c r="L47" s="234">
        <f t="shared" ref="L47:R47" si="23">SUM(L31:L36)</f>
        <v>5588081.881451509</v>
      </c>
      <c r="M47" s="234">
        <f t="shared" si="23"/>
        <v>6419000.2228800002</v>
      </c>
      <c r="N47" s="234">
        <f t="shared" si="23"/>
        <v>1672173.5307639998</v>
      </c>
      <c r="O47" s="234">
        <f t="shared" si="23"/>
        <v>2195057.39909</v>
      </c>
      <c r="P47" s="234">
        <f t="shared" si="23"/>
        <v>42595073.355040908</v>
      </c>
      <c r="Q47" s="234">
        <f t="shared" si="23"/>
        <v>729076.11932200019</v>
      </c>
      <c r="R47" s="234">
        <f t="shared" si="23"/>
        <v>43324149.474362917</v>
      </c>
    </row>
    <row r="48" spans="1:22" ht="20.100000000000001" customHeight="1">
      <c r="A48" s="178" t="s">
        <v>58</v>
      </c>
      <c r="B48" s="398">
        <f>SUM(B37:B42)</f>
        <v>367353.49451300001</v>
      </c>
      <c r="C48" s="398">
        <f>SUM(C37:C42)</f>
        <v>912304.16115000006</v>
      </c>
      <c r="D48" s="398">
        <f t="shared" ref="D48:J48" si="24">SUM(D37:D42)</f>
        <v>411151.02432999999</v>
      </c>
      <c r="E48" s="398">
        <f t="shared" si="24"/>
        <v>361570.50254000002</v>
      </c>
      <c r="F48" s="398">
        <f t="shared" si="24"/>
        <v>321254.99044999998</v>
      </c>
      <c r="G48" s="398">
        <f t="shared" si="24"/>
        <v>1199419.8021800001</v>
      </c>
      <c r="H48" s="398">
        <f t="shared" si="24"/>
        <v>655337.1401800001</v>
      </c>
      <c r="I48" s="398">
        <f t="shared" si="24"/>
        <v>418850.98297299998</v>
      </c>
      <c r="J48" s="398">
        <f t="shared" si="24"/>
        <v>434551.24580999999</v>
      </c>
      <c r="K48" s="398">
        <f>SUM(K37:K42)</f>
        <v>566628.50121961301</v>
      </c>
      <c r="L48" s="398">
        <f t="shared" ref="L48:R48" si="25">SUM(L37:L42)</f>
        <v>1315215.8625513962</v>
      </c>
      <c r="M48" s="398">
        <f t="shared" si="25"/>
        <v>1924357.1360550001</v>
      </c>
      <c r="N48" s="398">
        <f t="shared" si="25"/>
        <v>337007.82027199998</v>
      </c>
      <c r="O48" s="398">
        <f t="shared" si="25"/>
        <v>495255.77766999998</v>
      </c>
      <c r="P48" s="398">
        <f t="shared" si="25"/>
        <v>9720258.4418940078</v>
      </c>
      <c r="Q48" s="398">
        <f t="shared" si="25"/>
        <v>19003.327995999971</v>
      </c>
      <c r="R48" s="398">
        <f t="shared" si="25"/>
        <v>9739261.7698900085</v>
      </c>
    </row>
    <row r="49" spans="1:18" ht="20.100000000000001" customHeight="1">
      <c r="A49" s="178" t="s">
        <v>169</v>
      </c>
      <c r="B49" s="398">
        <f>SUM(B31:B42)</f>
        <v>1906233.2697949996</v>
      </c>
      <c r="C49" s="398">
        <f>SUM(C31:C42)</f>
        <v>6189119.16952</v>
      </c>
      <c r="D49" s="398">
        <f t="shared" ref="D49:J49" si="26">SUM(D31:D42)</f>
        <v>1662808.5906199999</v>
      </c>
      <c r="E49" s="398">
        <f t="shared" si="26"/>
        <v>2087132.1197299999</v>
      </c>
      <c r="F49" s="398">
        <f t="shared" si="26"/>
        <v>1976722.3623500003</v>
      </c>
      <c r="G49" s="398">
        <f t="shared" si="26"/>
        <v>6044854.0100290002</v>
      </c>
      <c r="H49" s="398">
        <f t="shared" si="26"/>
        <v>3278431.19386</v>
      </c>
      <c r="I49" s="398">
        <f t="shared" si="26"/>
        <v>2283146.5537479999</v>
      </c>
      <c r="J49" s="398">
        <f t="shared" si="26"/>
        <v>2378355.7149500004</v>
      </c>
      <c r="K49" s="398">
        <f>SUM(K31:K42)</f>
        <v>4562379.181599021</v>
      </c>
      <c r="L49" s="398">
        <f t="shared" ref="L49:R49" si="27">SUM(L31:L42)</f>
        <v>6903297.7440029047</v>
      </c>
      <c r="M49" s="398">
        <f t="shared" si="27"/>
        <v>8343357.3589350004</v>
      </c>
      <c r="N49" s="398">
        <f t="shared" si="27"/>
        <v>2009181.3510359998</v>
      </c>
      <c r="O49" s="398">
        <f t="shared" si="27"/>
        <v>2690313.1767599997</v>
      </c>
      <c r="P49" s="398">
        <f t="shared" si="27"/>
        <v>52315331.796934918</v>
      </c>
      <c r="Q49" s="398">
        <f t="shared" si="27"/>
        <v>748079.44731800014</v>
      </c>
      <c r="R49" s="398">
        <f t="shared" si="27"/>
        <v>53063411.244252928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107" customWidth="1"/>
    <col min="2" max="6" width="4.7109375" style="107" customWidth="1"/>
    <col min="7" max="9" width="4.85546875" style="107" customWidth="1"/>
    <col min="10" max="14" width="4.7109375" style="107" customWidth="1"/>
    <col min="15" max="15" width="3.7109375" style="107" customWidth="1"/>
    <col min="16" max="19" width="4.7109375" style="107" customWidth="1"/>
    <col min="20" max="20" width="3.7109375" style="107" customWidth="1"/>
    <col min="21" max="21" width="5" style="107" customWidth="1"/>
    <col min="22" max="16384" width="9.140625" style="107"/>
  </cols>
  <sheetData>
    <row r="1" spans="1:20" ht="20.25">
      <c r="A1" s="117" t="s">
        <v>277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>
      <c r="E2" s="108"/>
      <c r="F2" s="108"/>
    </row>
    <row r="3" spans="1:20" ht="15" customHeight="1">
      <c r="A3" s="533" t="s">
        <v>184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</row>
    <row r="4" spans="1:20" ht="15" customHeight="1">
      <c r="A4" s="72"/>
      <c r="C4" s="109"/>
      <c r="D4" s="109"/>
      <c r="E4" s="109"/>
      <c r="F4" s="109"/>
      <c r="G4" s="109"/>
      <c r="H4" s="61"/>
      <c r="I4" s="61"/>
    </row>
    <row r="5" spans="1:20" ht="15" customHeight="1">
      <c r="A5" s="72"/>
      <c r="C5" s="109"/>
      <c r="D5" s="109"/>
      <c r="E5" s="109"/>
      <c r="F5" s="109"/>
      <c r="G5" s="109"/>
      <c r="H5" s="61"/>
      <c r="I5" s="61"/>
    </row>
    <row r="6" spans="1:20" ht="15" customHeight="1">
      <c r="A6" s="72"/>
      <c r="B6" s="110"/>
      <c r="C6" s="110"/>
      <c r="D6" s="109"/>
      <c r="E6" s="109"/>
      <c r="F6" s="109"/>
      <c r="G6" s="110"/>
      <c r="H6" s="12"/>
      <c r="I6" s="61"/>
    </row>
    <row r="7" spans="1:20" ht="15" customHeight="1">
      <c r="A7" s="72"/>
      <c r="B7" s="110"/>
      <c r="C7" s="110"/>
      <c r="D7" s="109"/>
      <c r="E7" s="109"/>
      <c r="F7" s="109"/>
      <c r="G7" s="110"/>
      <c r="H7" s="12"/>
      <c r="I7" s="61"/>
    </row>
    <row r="8" spans="1:20" ht="15" customHeight="1">
      <c r="A8" s="72"/>
      <c r="B8" s="110"/>
      <c r="C8" s="110"/>
      <c r="D8" s="109"/>
      <c r="E8" s="109"/>
      <c r="F8" s="109"/>
      <c r="G8" s="110"/>
      <c r="H8" s="12"/>
      <c r="I8" s="61"/>
    </row>
    <row r="9" spans="1:20" ht="15" customHeight="1">
      <c r="A9" s="72"/>
      <c r="B9" s="109"/>
      <c r="C9" s="109"/>
      <c r="D9" s="109"/>
      <c r="E9" s="109"/>
      <c r="F9" s="109"/>
      <c r="G9" s="110"/>
      <c r="H9" s="12"/>
      <c r="I9" s="61"/>
    </row>
    <row r="10" spans="1:20" ht="15" customHeight="1">
      <c r="A10" s="72"/>
      <c r="B10" s="109"/>
      <c r="C10" s="109"/>
      <c r="D10" s="109"/>
      <c r="E10" s="109"/>
      <c r="F10" s="109"/>
      <c r="G10" s="109"/>
      <c r="H10" s="61"/>
      <c r="I10" s="61"/>
    </row>
    <row r="11" spans="1:20" ht="15" customHeight="1">
      <c r="A11" s="72"/>
      <c r="B11" s="109"/>
      <c r="C11" s="109"/>
      <c r="D11" s="109"/>
      <c r="E11" s="109"/>
      <c r="F11" s="109"/>
      <c r="G11" s="109"/>
      <c r="H11" s="61"/>
      <c r="I11" s="61"/>
    </row>
    <row r="12" spans="1:20" ht="15" customHeight="1">
      <c r="A12" s="72"/>
      <c r="B12" s="109"/>
      <c r="C12" s="109"/>
      <c r="D12" s="109"/>
      <c r="E12" s="109"/>
      <c r="F12" s="109"/>
      <c r="G12" s="109"/>
      <c r="H12" s="61"/>
      <c r="I12" s="61"/>
    </row>
    <row r="13" spans="1:20" ht="15" customHeight="1">
      <c r="A13" s="72"/>
      <c r="B13" s="109"/>
      <c r="C13" s="109"/>
      <c r="D13" s="109"/>
      <c r="E13" s="109"/>
      <c r="F13" s="109"/>
      <c r="G13" s="109"/>
      <c r="H13" s="61"/>
      <c r="I13" s="61"/>
    </row>
    <row r="14" spans="1:20" ht="15" customHeight="1">
      <c r="A14" s="72"/>
      <c r="B14" s="109"/>
      <c r="C14" s="109"/>
      <c r="D14" s="109"/>
      <c r="E14" s="109"/>
      <c r="F14" s="109"/>
      <c r="G14" s="109"/>
      <c r="H14" s="111"/>
      <c r="I14" s="111"/>
    </row>
    <row r="15" spans="1:20" ht="15" customHeight="1">
      <c r="A15" s="112"/>
      <c r="B15" s="112"/>
      <c r="C15" s="112"/>
      <c r="D15" s="112"/>
      <c r="E15" s="112"/>
      <c r="F15" s="112"/>
      <c r="G15" s="113"/>
      <c r="H15" s="114"/>
      <c r="I15" s="114"/>
    </row>
    <row r="16" spans="1:20" ht="15" customHeight="1">
      <c r="A16" s="112"/>
      <c r="B16" s="112"/>
      <c r="C16" s="112"/>
      <c r="D16" s="112"/>
      <c r="E16" s="112"/>
      <c r="F16" s="112"/>
    </row>
    <row r="17" spans="1:21" ht="15" customHeight="1">
      <c r="A17" s="112"/>
      <c r="B17" s="112"/>
      <c r="C17" s="112"/>
      <c r="D17" s="112"/>
      <c r="E17" s="112"/>
      <c r="F17" s="112"/>
    </row>
    <row r="18" spans="1:21" ht="15" customHeight="1">
      <c r="A18" s="112"/>
      <c r="B18" s="112"/>
      <c r="C18" s="112"/>
      <c r="D18" s="112"/>
      <c r="E18" s="112"/>
      <c r="F18" s="112"/>
    </row>
    <row r="19" spans="1:21" ht="15" customHeight="1">
      <c r="A19" s="112"/>
      <c r="B19" s="112"/>
      <c r="C19" s="112"/>
      <c r="D19" s="112"/>
      <c r="E19" s="112"/>
      <c r="F19" s="112"/>
    </row>
    <row r="20" spans="1:21" ht="15" customHeight="1">
      <c r="A20" s="112"/>
      <c r="B20" s="112"/>
      <c r="C20" s="112"/>
      <c r="D20" s="112"/>
      <c r="E20" s="112"/>
      <c r="F20" s="112"/>
    </row>
    <row r="21" spans="1:21" ht="12.95" customHeight="1">
      <c r="B21" s="115"/>
      <c r="C21" s="115"/>
      <c r="D21" s="115"/>
      <c r="E21" s="112"/>
      <c r="F21" s="113"/>
      <c r="G21" s="113"/>
      <c r="H21" s="113"/>
    </row>
    <row r="22" spans="1:21" ht="12.95" customHeight="1">
      <c r="B22" s="115"/>
      <c r="C22" s="115"/>
      <c r="D22" s="115"/>
      <c r="G22" s="534"/>
      <c r="H22" s="534"/>
      <c r="I22" s="534"/>
      <c r="K22" s="534"/>
      <c r="L22" s="534"/>
      <c r="M22" s="534"/>
      <c r="N22" s="534"/>
      <c r="P22" s="534"/>
      <c r="Q22" s="534"/>
      <c r="R22" s="534"/>
      <c r="S22" s="534"/>
      <c r="T22" s="534"/>
      <c r="U22" s="534"/>
    </row>
    <row r="23" spans="1:21" ht="12.95" customHeight="1">
      <c r="B23" s="115"/>
      <c r="C23" s="115"/>
      <c r="D23" s="115"/>
      <c r="G23" s="534"/>
      <c r="H23" s="534"/>
      <c r="I23" s="534"/>
      <c r="K23" s="535"/>
      <c r="L23" s="535"/>
      <c r="M23" s="535"/>
      <c r="N23" s="535"/>
      <c r="P23" s="534"/>
      <c r="Q23" s="534"/>
      <c r="R23" s="534"/>
      <c r="S23" s="534"/>
      <c r="T23" s="534"/>
      <c r="U23" s="534"/>
    </row>
    <row r="24" spans="1:21" ht="12.95" customHeight="1">
      <c r="B24" s="115"/>
      <c r="C24" s="115"/>
      <c r="D24" s="115"/>
      <c r="G24" s="534"/>
      <c r="H24" s="534"/>
      <c r="I24" s="534"/>
      <c r="K24" s="535"/>
      <c r="L24" s="535"/>
      <c r="M24" s="535"/>
      <c r="N24" s="535"/>
      <c r="P24" s="535"/>
      <c r="Q24" s="535"/>
      <c r="R24" s="535"/>
      <c r="S24" s="535"/>
      <c r="T24" s="535"/>
      <c r="U24" s="535"/>
    </row>
    <row r="25" spans="1:21" ht="12" customHeight="1">
      <c r="A25" s="112"/>
      <c r="B25" s="112"/>
      <c r="C25" s="112"/>
      <c r="D25" s="112"/>
      <c r="E25" s="112"/>
      <c r="F25" s="112"/>
      <c r="H25" s="116"/>
      <c r="I25" s="116"/>
      <c r="P25" s="535"/>
      <c r="Q25" s="535"/>
      <c r="R25" s="535"/>
      <c r="S25" s="535"/>
      <c r="T25" s="535"/>
      <c r="U25" s="535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16" zoomScaleNormal="100" workbookViewId="0">
      <selection activeCell="C1" sqref="C1"/>
    </sheetView>
  </sheetViews>
  <sheetFormatPr defaultColWidth="9.140625" defaultRowHeight="12.75"/>
  <cols>
    <col min="1" max="1" width="9.140625" style="373"/>
    <col min="2" max="2" width="11.28515625" style="373" bestFit="1" customWidth="1"/>
    <col min="3" max="16384" width="9.140625" style="373"/>
  </cols>
  <sheetData>
    <row r="25" spans="6:6">
      <c r="F25" s="372"/>
    </row>
    <row r="26" spans="6:6">
      <c r="F26" s="372"/>
    </row>
    <row r="27" spans="6:6">
      <c r="F27" s="372"/>
    </row>
    <row r="28" spans="6:6">
      <c r="F28" s="372"/>
    </row>
    <row r="47" spans="1:3" ht="15">
      <c r="A47" s="374" t="s">
        <v>296</v>
      </c>
    </row>
    <row r="48" spans="1:3" ht="14.25">
      <c r="A48" s="375" t="s">
        <v>302</v>
      </c>
      <c r="B48" s="376"/>
      <c r="C48" s="376"/>
    </row>
    <row r="50" spans="1:2" ht="14.25">
      <c r="A50" s="377" t="s">
        <v>298</v>
      </c>
      <c r="B50" s="378">
        <f ca="1">TODAY()</f>
        <v>45972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272</v>
      </c>
      <c r="B1" s="21"/>
    </row>
    <row r="2" spans="1:2" ht="6" customHeight="1">
      <c r="B2" s="21"/>
    </row>
    <row r="3" spans="1:2" ht="39.950000000000003" customHeight="1">
      <c r="A3" s="13" t="s">
        <v>226</v>
      </c>
      <c r="B3" s="14" t="s">
        <v>299</v>
      </c>
    </row>
    <row r="4" spans="1:2" ht="24.95" customHeight="1">
      <c r="A4" s="15" t="s">
        <v>90</v>
      </c>
      <c r="B4" s="16" t="s">
        <v>95</v>
      </c>
    </row>
    <row r="5" spans="1:2" ht="24.95" customHeight="1">
      <c r="A5" s="15" t="s">
        <v>96</v>
      </c>
      <c r="B5" s="17" t="s">
        <v>97</v>
      </c>
    </row>
    <row r="6" spans="1:2" ht="24.95" customHeight="1">
      <c r="A6" s="15" t="s">
        <v>7</v>
      </c>
      <c r="B6" s="16" t="s">
        <v>98</v>
      </c>
    </row>
    <row r="7" spans="1:2" ht="24.95" customHeight="1">
      <c r="A7" s="15" t="s">
        <v>99</v>
      </c>
      <c r="B7" s="16" t="s">
        <v>100</v>
      </c>
    </row>
    <row r="8" spans="1:2" ht="24.95" customHeight="1">
      <c r="A8" s="15" t="s">
        <v>101</v>
      </c>
      <c r="B8" s="16" t="s">
        <v>102</v>
      </c>
    </row>
    <row r="9" spans="1:2" ht="24.95" customHeight="1">
      <c r="A9" s="15" t="s">
        <v>314</v>
      </c>
      <c r="B9" s="16" t="s">
        <v>311</v>
      </c>
    </row>
    <row r="10" spans="1:2" ht="24.95" customHeight="1">
      <c r="A10" s="15" t="s">
        <v>84</v>
      </c>
      <c r="B10" s="18" t="s">
        <v>198</v>
      </c>
    </row>
    <row r="11" spans="1:2" ht="24.95" customHeight="1">
      <c r="A11" s="15" t="s">
        <v>301</v>
      </c>
      <c r="B11" s="16" t="s">
        <v>305</v>
      </c>
    </row>
    <row r="12" spans="1:2" ht="24.95" customHeight="1">
      <c r="A12" s="15" t="s">
        <v>103</v>
      </c>
      <c r="B12" s="16" t="s">
        <v>104</v>
      </c>
    </row>
    <row r="13" spans="1:2" ht="24.95" customHeight="1">
      <c r="A13" s="15" t="s">
        <v>105</v>
      </c>
      <c r="B13" s="16" t="s">
        <v>106</v>
      </c>
    </row>
    <row r="14" spans="1:2" ht="24.95" customHeight="1">
      <c r="A14" s="15" t="s">
        <v>107</v>
      </c>
      <c r="B14" s="16" t="s">
        <v>108</v>
      </c>
    </row>
    <row r="15" spans="1:2" ht="24.95" customHeight="1">
      <c r="A15" s="15" t="s">
        <v>201</v>
      </c>
      <c r="B15" s="16" t="s">
        <v>202</v>
      </c>
    </row>
    <row r="16" spans="1:2" ht="24.95" customHeight="1">
      <c r="A16" s="15" t="s">
        <v>303</v>
      </c>
      <c r="B16" s="16" t="s">
        <v>304</v>
      </c>
    </row>
    <row r="17" spans="1:2" ht="24.95" customHeight="1">
      <c r="A17" s="15" t="s">
        <v>6</v>
      </c>
      <c r="B17" s="16" t="s">
        <v>109</v>
      </c>
    </row>
    <row r="18" spans="1:2" ht="24.95" customHeight="1">
      <c r="A18" s="15" t="s">
        <v>110</v>
      </c>
      <c r="B18" s="16" t="s">
        <v>199</v>
      </c>
    </row>
    <row r="19" spans="1:2" ht="24.95" customHeight="1">
      <c r="A19" s="15" t="s">
        <v>111</v>
      </c>
      <c r="B19" s="19" t="s">
        <v>112</v>
      </c>
    </row>
    <row r="20" spans="1:2" ht="24.95" customHeight="1">
      <c r="A20" s="13" t="s">
        <v>113</v>
      </c>
      <c r="B20" s="19" t="s">
        <v>114</v>
      </c>
    </row>
    <row r="21" spans="1:2" ht="39.950000000000003" customHeight="1">
      <c r="A21" s="15" t="s">
        <v>115</v>
      </c>
      <c r="B21" s="19" t="s">
        <v>116</v>
      </c>
    </row>
    <row r="22" spans="1:2" ht="24.95" customHeight="1">
      <c r="A22" s="15" t="s">
        <v>31</v>
      </c>
      <c r="B22" s="20" t="s">
        <v>117</v>
      </c>
    </row>
    <row r="23" spans="1:2" ht="24.95" customHeight="1">
      <c r="A23" s="15" t="s">
        <v>118</v>
      </c>
      <c r="B23" s="19" t="s">
        <v>119</v>
      </c>
    </row>
    <row r="24" spans="1:2" ht="24.95" customHeight="1">
      <c r="A24" s="15" t="s">
        <v>120</v>
      </c>
      <c r="B24" s="16" t="s">
        <v>121</v>
      </c>
    </row>
    <row r="25" spans="1:2" ht="24.95" customHeight="1">
      <c r="A25" s="15" t="s">
        <v>148</v>
      </c>
      <c r="B25" s="16" t="s">
        <v>149</v>
      </c>
    </row>
    <row r="26" spans="1:2" ht="24.95" customHeight="1">
      <c r="A26" s="15" t="s">
        <v>122</v>
      </c>
      <c r="B26" s="16" t="s">
        <v>123</v>
      </c>
    </row>
    <row r="27" spans="1:2" ht="39.950000000000003" customHeight="1">
      <c r="A27" s="15" t="s">
        <v>307</v>
      </c>
      <c r="B27" s="16" t="s">
        <v>309</v>
      </c>
    </row>
    <row r="28" spans="1:2" ht="24.95" customHeight="1">
      <c r="A28" s="15" t="s">
        <v>124</v>
      </c>
      <c r="B28" s="16" t="s">
        <v>125</v>
      </c>
    </row>
    <row r="29" spans="1:2" ht="24.95" customHeight="1">
      <c r="A29" s="15" t="s">
        <v>126</v>
      </c>
      <c r="B29" s="16" t="s">
        <v>127</v>
      </c>
    </row>
    <row r="30" spans="1:2" ht="24.95" customHeight="1">
      <c r="A30" s="15" t="s">
        <v>128</v>
      </c>
      <c r="B30" s="16" t="s">
        <v>129</v>
      </c>
    </row>
    <row r="31" spans="1:2" ht="39.950000000000003" customHeight="1">
      <c r="A31" s="15" t="s">
        <v>130</v>
      </c>
      <c r="B31" s="19" t="s">
        <v>146</v>
      </c>
    </row>
    <row r="32" spans="1:2" ht="24.95" customHeight="1">
      <c r="A32" s="15" t="s">
        <v>131</v>
      </c>
      <c r="B32" s="16" t="s">
        <v>132</v>
      </c>
    </row>
    <row r="33" spans="1:2" ht="24.95" customHeight="1">
      <c r="A33" s="15" t="s">
        <v>133</v>
      </c>
      <c r="B33" s="16" t="s">
        <v>134</v>
      </c>
    </row>
    <row r="34" spans="1:2" ht="24.95" customHeight="1">
      <c r="A34" s="15" t="s">
        <v>135</v>
      </c>
      <c r="B34" s="19" t="s">
        <v>136</v>
      </c>
    </row>
    <row r="35" spans="1:2" ht="24.95" customHeight="1">
      <c r="A35" s="15" t="s">
        <v>5</v>
      </c>
      <c r="B35" s="16" t="s">
        <v>137</v>
      </c>
    </row>
    <row r="36" spans="1:2" ht="24.95" customHeight="1">
      <c r="A36" s="15" t="s">
        <v>319</v>
      </c>
      <c r="B36" s="16" t="s">
        <v>320</v>
      </c>
    </row>
    <row r="37" spans="1:2" ht="24.95" customHeight="1">
      <c r="A37" s="15" t="s">
        <v>4</v>
      </c>
      <c r="B37" s="16" t="s">
        <v>138</v>
      </c>
    </row>
    <row r="38" spans="1:2" ht="24.95" customHeight="1">
      <c r="A38" s="15" t="s">
        <v>139</v>
      </c>
      <c r="B38" s="16" t="s">
        <v>140</v>
      </c>
    </row>
    <row r="39" spans="1:2" ht="24.95" customHeight="1">
      <c r="A39" s="15" t="s">
        <v>30</v>
      </c>
      <c r="B39" s="16" t="s">
        <v>141</v>
      </c>
    </row>
    <row r="40" spans="1:2" ht="24.95" customHeight="1">
      <c r="A40" s="15" t="s">
        <v>142</v>
      </c>
      <c r="B40" s="19" t="s">
        <v>143</v>
      </c>
    </row>
    <row r="41" spans="1:2" ht="24.95" customHeight="1">
      <c r="A41" s="15" t="s">
        <v>144</v>
      </c>
      <c r="B41" s="16" t="s">
        <v>145</v>
      </c>
    </row>
    <row r="42" spans="1:2" ht="24.95" customHeight="1">
      <c r="A42" s="23"/>
      <c r="B42" s="16"/>
    </row>
  </sheetData>
  <sortState ref="A4:B41">
    <sortCondition ref="A4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zoomScaleNormal="100" zoomScaleSheetLayoutView="100" workbookViewId="0">
      <selection activeCell="J1" sqref="J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III. ČTVRTLETÍ 2025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25" t="s">
        <v>203</v>
      </c>
      <c r="B3" s="425"/>
      <c r="C3" s="425"/>
      <c r="D3" s="425"/>
      <c r="E3" s="425"/>
      <c r="F3" s="425"/>
      <c r="G3" s="425"/>
      <c r="H3" s="425"/>
      <c r="I3" s="425"/>
    </row>
    <row r="4" spans="1:10" ht="15" customHeight="1">
      <c r="A4" s="425"/>
      <c r="B4" s="425"/>
      <c r="C4" s="425"/>
      <c r="D4" s="425"/>
      <c r="E4" s="425"/>
      <c r="F4" s="425"/>
      <c r="G4" s="425"/>
      <c r="H4" s="425"/>
      <c r="I4" s="425"/>
    </row>
    <row r="5" spans="1:10" ht="15" customHeight="1">
      <c r="A5" s="425"/>
      <c r="B5" s="425"/>
      <c r="C5" s="425"/>
      <c r="D5" s="425"/>
      <c r="E5" s="425"/>
      <c r="F5" s="425"/>
      <c r="G5" s="425"/>
      <c r="H5" s="425"/>
      <c r="I5" s="425"/>
    </row>
    <row r="6" spans="1:10" ht="15" customHeight="1">
      <c r="A6" s="425"/>
      <c r="B6" s="425"/>
      <c r="C6" s="425"/>
      <c r="D6" s="425"/>
      <c r="E6" s="425"/>
      <c r="F6" s="425"/>
      <c r="G6" s="425"/>
      <c r="H6" s="425"/>
      <c r="I6" s="425"/>
    </row>
    <row r="7" spans="1:10" ht="30" customHeight="1">
      <c r="A7" s="426" t="s">
        <v>237</v>
      </c>
      <c r="B7" s="426"/>
      <c r="C7" s="426"/>
      <c r="D7" s="426"/>
      <c r="E7" s="426"/>
      <c r="F7" s="426"/>
      <c r="G7" s="426"/>
      <c r="H7" s="426"/>
      <c r="I7" s="426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22" t="s">
        <v>204</v>
      </c>
      <c r="B9" s="422"/>
      <c r="C9" s="422"/>
      <c r="D9" s="422"/>
      <c r="E9" s="31">
        <f>'3.1'!G8/1000</f>
        <v>2569.0888581009845</v>
      </c>
      <c r="F9" s="32" t="s">
        <v>244</v>
      </c>
      <c r="G9" s="32" t="s">
        <v>205</v>
      </c>
      <c r="H9" s="31">
        <f>'3.1'!K8/1000</f>
        <v>28323.530693995996</v>
      </c>
      <c r="I9" s="32" t="s">
        <v>206</v>
      </c>
    </row>
    <row r="10" spans="1:10" ht="15.95" customHeight="1">
      <c r="A10" s="423" t="s">
        <v>207</v>
      </c>
      <c r="B10" s="423"/>
      <c r="C10" s="423"/>
      <c r="D10" s="423"/>
      <c r="E10" s="31">
        <f>'3.1'!G11/1000</f>
        <v>420.57653453789698</v>
      </c>
      <c r="F10" s="32" t="s">
        <v>244</v>
      </c>
      <c r="G10" s="32" t="s">
        <v>205</v>
      </c>
      <c r="H10" s="31">
        <f>'3.1'!K11/1000</f>
        <v>4623.5563312566001</v>
      </c>
      <c r="I10" s="32" t="s">
        <v>206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23" t="s">
        <v>208</v>
      </c>
      <c r="B12" s="423"/>
      <c r="C12" s="423"/>
      <c r="D12" s="423"/>
      <c r="E12" s="38">
        <f>'3.1'!G19/1000</f>
        <v>7.0777000000000007E-2</v>
      </c>
      <c r="F12" s="32" t="s">
        <v>244</v>
      </c>
      <c r="G12" s="32" t="s">
        <v>205</v>
      </c>
      <c r="H12" s="31">
        <f>'3.1'!K19/1000</f>
        <v>0.78239400000000003</v>
      </c>
      <c r="I12" s="32" t="s">
        <v>206</v>
      </c>
    </row>
    <row r="13" spans="1:10" ht="15.95" customHeight="1">
      <c r="A13" s="423" t="s">
        <v>209</v>
      </c>
      <c r="B13" s="423"/>
      <c r="C13" s="423"/>
      <c r="D13" s="423"/>
      <c r="E13" s="31">
        <f>'3.1'!G24/1000</f>
        <v>1296.488533</v>
      </c>
      <c r="F13" s="32" t="s">
        <v>244</v>
      </c>
      <c r="G13" s="32" t="s">
        <v>205</v>
      </c>
      <c r="H13" s="31">
        <f>'3.1'!K24/1000</f>
        <v>14291.696206558001</v>
      </c>
      <c r="I13" s="32" t="s">
        <v>206</v>
      </c>
    </row>
    <row r="14" spans="1:10" ht="15.95" customHeight="1">
      <c r="A14" s="423" t="s">
        <v>210</v>
      </c>
      <c r="B14" s="423"/>
      <c r="C14" s="423"/>
      <c r="D14" s="423"/>
      <c r="E14" s="31">
        <f>'3.1'!G30/1000</f>
        <v>3347.7620947324926</v>
      </c>
      <c r="F14" s="32" t="s">
        <v>244</v>
      </c>
      <c r="G14" s="32" t="s">
        <v>205</v>
      </c>
      <c r="H14" s="31">
        <f>'3.1'!K30/1000</f>
        <v>36863.762537582144</v>
      </c>
      <c r="I14" s="32" t="s">
        <v>206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23" t="s">
        <v>211</v>
      </c>
      <c r="B16" s="423"/>
      <c r="C16" s="423"/>
      <c r="D16" s="423"/>
      <c r="E16" s="31">
        <f>'3.1'!G39/1000</f>
        <v>31.220252000000002</v>
      </c>
      <c r="F16" s="32" t="s">
        <v>244</v>
      </c>
      <c r="G16" s="32" t="s">
        <v>205</v>
      </c>
      <c r="H16" s="31">
        <f>'3.1'!K39/1000</f>
        <v>338.25635397504703</v>
      </c>
      <c r="I16" s="32" t="s">
        <v>206</v>
      </c>
    </row>
    <row r="17" spans="1:9" ht="30" customHeight="1">
      <c r="A17" s="426" t="s">
        <v>238</v>
      </c>
      <c r="B17" s="426"/>
      <c r="C17" s="426"/>
      <c r="D17" s="426"/>
      <c r="E17" s="426"/>
      <c r="F17" s="426"/>
      <c r="G17" s="426"/>
      <c r="H17" s="426"/>
      <c r="I17" s="426"/>
    </row>
    <row r="18" spans="1:9" ht="9.9499999999999993" customHeight="1">
      <c r="A18" s="29"/>
      <c r="B18" s="29"/>
      <c r="C18" s="30"/>
      <c r="D18" s="30"/>
    </row>
    <row r="19" spans="1:9" ht="15.95" customHeight="1">
      <c r="A19" s="422" t="s">
        <v>212</v>
      </c>
      <c r="B19" s="422"/>
      <c r="C19" s="422"/>
      <c r="D19" s="422"/>
      <c r="E19" s="31">
        <f>'4.1'!B21</f>
        <v>883.57753859790114</v>
      </c>
      <c r="F19" s="32" t="s">
        <v>244</v>
      </c>
      <c r="G19" s="32" t="s">
        <v>205</v>
      </c>
      <c r="H19" s="31">
        <f>'4.1'!I21</f>
        <v>9739.2617698900067</v>
      </c>
      <c r="I19" s="32" t="s">
        <v>206</v>
      </c>
    </row>
    <row r="20" spans="1:9" ht="15.95" customHeight="1">
      <c r="A20" s="423" t="s">
        <v>213</v>
      </c>
      <c r="B20" s="423"/>
      <c r="C20" s="423"/>
      <c r="D20" s="423"/>
      <c r="E20" s="36">
        <f>'4.1'!D21*100</f>
        <v>-0.33586343911079014</v>
      </c>
      <c r="F20" s="32" t="s">
        <v>214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23" t="s">
        <v>215</v>
      </c>
      <c r="B22" s="423"/>
      <c r="C22" s="423"/>
      <c r="D22" s="423"/>
      <c r="E22" s="31">
        <f>'4.1'!E21</f>
        <v>890.46321412088059</v>
      </c>
      <c r="F22" s="32" t="s">
        <v>244</v>
      </c>
      <c r="G22" s="32" t="s">
        <v>205</v>
      </c>
      <c r="H22" s="31">
        <f>'4.1'!K21</f>
        <v>9815.5102687619546</v>
      </c>
      <c r="I22" s="32" t="s">
        <v>206</v>
      </c>
    </row>
    <row r="23" spans="1:9" ht="15.95" customHeight="1">
      <c r="A23" s="423" t="s">
        <v>216</v>
      </c>
      <c r="B23" s="423"/>
      <c r="C23" s="423"/>
      <c r="D23" s="423"/>
      <c r="E23" s="36">
        <f>'4.1'!G21*100</f>
        <v>-3.944015887744015</v>
      </c>
      <c r="F23" s="32" t="s">
        <v>214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23" t="s">
        <v>217</v>
      </c>
      <c r="B25" s="423"/>
      <c r="C25" s="423"/>
      <c r="D25" s="423"/>
      <c r="E25" s="36">
        <f>'4.1'!N21</f>
        <v>16.720430107526884</v>
      </c>
      <c r="F25" s="32" t="s">
        <v>218</v>
      </c>
      <c r="G25" s="32"/>
      <c r="H25" s="31"/>
      <c r="I25" s="32"/>
    </row>
    <row r="26" spans="1:9" ht="15.95" customHeight="1">
      <c r="A26" s="423" t="s">
        <v>219</v>
      </c>
      <c r="B26" s="423"/>
      <c r="C26" s="423"/>
      <c r="D26" s="423"/>
      <c r="E26" s="36">
        <f>'4.1'!Q21</f>
        <v>16.745806451612903</v>
      </c>
      <c r="F26" s="32" t="s">
        <v>218</v>
      </c>
      <c r="G26" s="32"/>
      <c r="H26" s="31"/>
      <c r="I26" s="32"/>
    </row>
    <row r="27" spans="1:9" ht="15.95" customHeight="1">
      <c r="A27" s="423" t="s">
        <v>220</v>
      </c>
      <c r="B27" s="423"/>
      <c r="C27" s="423"/>
      <c r="D27" s="423"/>
      <c r="E27" s="36">
        <f>'4.1'!R21</f>
        <v>-2.5376344086019742E-2</v>
      </c>
      <c r="F27" s="32" t="s">
        <v>218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23" t="s">
        <v>221</v>
      </c>
      <c r="B29" s="423"/>
      <c r="C29" s="423"/>
      <c r="D29" s="423"/>
      <c r="E29" s="38">
        <f>MAX('4.3'!B38,'4.3'!E38,'4.3'!H38)/1000</f>
        <v>17.969291971732105</v>
      </c>
      <c r="F29" s="32" t="s">
        <v>244</v>
      </c>
      <c r="G29" s="32" t="s">
        <v>205</v>
      </c>
      <c r="H29" s="38">
        <f>MAX('4.3'!C38,'4.3'!F38,'4.3'!I38)/1000</f>
        <v>198.68982492276695</v>
      </c>
      <c r="I29" s="32" t="s">
        <v>206</v>
      </c>
    </row>
    <row r="30" spans="1:9" ht="15.95" customHeight="1">
      <c r="A30" s="423" t="s">
        <v>222</v>
      </c>
      <c r="B30" s="423"/>
      <c r="C30" s="423"/>
      <c r="D30" s="423"/>
      <c r="E30" s="38">
        <f>MIN('4.3'!B39,'4.3'!E39,'4.3'!H39)/1000</f>
        <v>6.6067509093122281</v>
      </c>
      <c r="F30" s="32" t="s">
        <v>244</v>
      </c>
      <c r="G30" s="32" t="s">
        <v>205</v>
      </c>
      <c r="H30" s="38">
        <f>MIN('4.3'!C39,'4.3'!F39,'4.3'!I39)/1000</f>
        <v>72.575414079161405</v>
      </c>
      <c r="I30" s="32" t="s">
        <v>206</v>
      </c>
    </row>
    <row r="31" spans="1:9" ht="30" customHeight="1">
      <c r="A31" s="421" t="s">
        <v>239</v>
      </c>
      <c r="B31" s="421"/>
      <c r="C31" s="421"/>
      <c r="D31" s="421"/>
      <c r="E31" s="421"/>
      <c r="F31" s="421"/>
      <c r="G31" s="421"/>
      <c r="H31" s="421"/>
      <c r="I31" s="421"/>
    </row>
    <row r="32" spans="1:9" ht="9.9499999999999993" customHeight="1"/>
    <row r="33" spans="1:9" ht="15.95" customHeight="1">
      <c r="A33" s="422" t="s">
        <v>308</v>
      </c>
      <c r="B33" s="422"/>
      <c r="C33" s="422"/>
      <c r="D33" s="422"/>
      <c r="E33" s="38">
        <f>'5.9'!E7*100</f>
        <v>6.9355191301640406</v>
      </c>
      <c r="F33" s="32" t="s">
        <v>214</v>
      </c>
      <c r="H33" s="38">
        <f>'5.9'!F7*100</f>
        <v>2.7511497123664297</v>
      </c>
      <c r="I33" s="32" t="s">
        <v>214</v>
      </c>
    </row>
    <row r="34" spans="1:9" ht="15.95" customHeight="1">
      <c r="A34" s="423" t="s">
        <v>223</v>
      </c>
      <c r="B34" s="423"/>
      <c r="C34" s="423"/>
      <c r="D34" s="423"/>
      <c r="E34" s="38">
        <f>'5.9'!E8*100</f>
        <v>83.554022598981078</v>
      </c>
      <c r="F34" s="32" t="s">
        <v>214</v>
      </c>
      <c r="H34" s="38">
        <f>'5.9'!F8*100</f>
        <v>1.5847222238730891</v>
      </c>
      <c r="I34" s="32" t="s">
        <v>214</v>
      </c>
    </row>
    <row r="35" spans="1:9" ht="15.95" customHeight="1">
      <c r="A35" s="423" t="s">
        <v>317</v>
      </c>
      <c r="B35" s="423"/>
      <c r="C35" s="423"/>
      <c r="D35" s="423"/>
      <c r="E35" s="38">
        <f>'5.9'!E9*100</f>
        <v>4.1343779582681632</v>
      </c>
      <c r="F35" s="32" t="s">
        <v>214</v>
      </c>
      <c r="H35" s="38">
        <f>'5.9'!F9*100</f>
        <v>16.164296776300596</v>
      </c>
      <c r="I35" s="32" t="s">
        <v>214</v>
      </c>
    </row>
    <row r="36" spans="1:9" ht="15.95" customHeight="1">
      <c r="A36" s="423" t="s">
        <v>224</v>
      </c>
      <c r="B36" s="423"/>
      <c r="C36" s="423"/>
      <c r="D36" s="423"/>
      <c r="E36" s="38">
        <f>'5.9'!E10*100</f>
        <v>5.3760803125867085</v>
      </c>
      <c r="F36" s="32" t="s">
        <v>214</v>
      </c>
      <c r="H36" s="38">
        <f>'5.9'!F10*100</f>
        <v>-30.876644770447253</v>
      </c>
      <c r="I36" s="32" t="s">
        <v>214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23" t="s">
        <v>225</v>
      </c>
      <c r="B38" s="423"/>
      <c r="C38" s="423"/>
      <c r="D38" s="423"/>
      <c r="E38" s="420">
        <f>'5.1'!D35</f>
        <v>2706001</v>
      </c>
      <c r="F38" s="420"/>
      <c r="H38" s="38"/>
      <c r="I38" s="32"/>
    </row>
    <row r="39" spans="1:9" ht="30" customHeight="1">
      <c r="A39" s="424"/>
      <c r="B39" s="424"/>
      <c r="C39" s="424"/>
      <c r="D39" s="424"/>
      <c r="E39" s="424"/>
      <c r="F39" s="424"/>
      <c r="G39" s="424"/>
      <c r="H39" s="424"/>
      <c r="I39" s="424"/>
    </row>
    <row r="40" spans="1:9" ht="15.95" customHeight="1">
      <c r="A40" s="29"/>
      <c r="B40" s="29"/>
    </row>
    <row r="41" spans="1:9" ht="15.95" customHeight="1">
      <c r="A41" s="419"/>
      <c r="B41" s="419"/>
      <c r="C41" s="419"/>
      <c r="D41" s="419"/>
      <c r="E41" s="419"/>
      <c r="F41" s="419"/>
      <c r="G41" s="419"/>
      <c r="H41" s="419"/>
      <c r="I41" s="419"/>
    </row>
    <row r="42" spans="1:9" ht="15.95" customHeight="1">
      <c r="A42" s="419"/>
      <c r="B42" s="419"/>
      <c r="C42" s="419"/>
      <c r="D42" s="419"/>
      <c r="E42" s="419"/>
      <c r="F42" s="419"/>
      <c r="G42" s="419"/>
      <c r="H42" s="419"/>
      <c r="I42" s="419"/>
    </row>
    <row r="43" spans="1:9" ht="15.95" customHeight="1">
      <c r="A43" s="419"/>
      <c r="B43" s="419"/>
      <c r="C43" s="419"/>
      <c r="D43" s="419"/>
      <c r="E43" s="419"/>
      <c r="F43" s="419"/>
      <c r="G43" s="419"/>
      <c r="H43" s="419"/>
      <c r="I43" s="419"/>
    </row>
    <row r="44" spans="1:9" ht="15.95" customHeight="1">
      <c r="A44" s="419"/>
      <c r="B44" s="419"/>
      <c r="C44" s="419"/>
      <c r="D44" s="419"/>
      <c r="E44" s="419"/>
      <c r="F44" s="419"/>
      <c r="G44" s="419"/>
      <c r="H44" s="419"/>
      <c r="I44" s="419"/>
    </row>
    <row r="45" spans="1:9" ht="15.95" customHeight="1">
      <c r="A45" s="419"/>
      <c r="B45" s="419"/>
      <c r="C45" s="419"/>
      <c r="D45" s="419"/>
      <c r="E45" s="419"/>
      <c r="F45" s="419"/>
      <c r="G45" s="419"/>
      <c r="H45" s="419"/>
      <c r="I45" s="419"/>
    </row>
    <row r="46" spans="1:9" ht="15.95" customHeight="1">
      <c r="A46" s="419"/>
      <c r="B46" s="419"/>
      <c r="C46" s="419"/>
      <c r="D46" s="419"/>
      <c r="E46" s="419"/>
      <c r="F46" s="419"/>
      <c r="G46" s="419"/>
      <c r="H46" s="419"/>
      <c r="I46" s="419"/>
    </row>
    <row r="47" spans="1:9" ht="15.95" customHeight="1">
      <c r="A47" s="419"/>
      <c r="B47" s="419"/>
      <c r="C47" s="419"/>
      <c r="D47" s="419"/>
      <c r="E47" s="419"/>
      <c r="F47" s="419"/>
      <c r="G47" s="419"/>
      <c r="H47" s="419"/>
      <c r="I47" s="419"/>
    </row>
    <row r="48" spans="1:9" ht="15" customHeight="1">
      <c r="A48" s="419"/>
      <c r="B48" s="419"/>
      <c r="C48" s="419"/>
      <c r="D48" s="419"/>
      <c r="E48" s="419"/>
      <c r="F48" s="419"/>
      <c r="G48" s="419"/>
      <c r="H48" s="419"/>
      <c r="I48" s="419"/>
    </row>
    <row r="49" spans="1:9" ht="15" customHeight="1">
      <c r="A49" s="419"/>
      <c r="B49" s="419"/>
      <c r="C49" s="419"/>
      <c r="D49" s="419"/>
      <c r="E49" s="419"/>
      <c r="F49" s="419"/>
      <c r="G49" s="419"/>
      <c r="H49" s="419"/>
      <c r="I49" s="419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9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273</v>
      </c>
    </row>
    <row r="2" spans="1:18" ht="18">
      <c r="A2" s="436" t="s">
        <v>278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18" ht="6" customHeight="1">
      <c r="A3" s="228"/>
      <c r="B3" s="228"/>
      <c r="C3" s="229"/>
      <c r="D3" s="437"/>
      <c r="E3" s="438"/>
      <c r="F3" s="438"/>
      <c r="G3" s="438"/>
      <c r="H3" s="438"/>
      <c r="I3" s="438"/>
      <c r="J3" s="438"/>
      <c r="K3" s="438"/>
    </row>
    <row r="4" spans="1:18" s="40" customFormat="1" ht="20.100000000000001" customHeight="1">
      <c r="A4" s="370">
        <v>2025</v>
      </c>
      <c r="B4" s="149"/>
      <c r="C4" s="197"/>
      <c r="D4" s="439" t="s">
        <v>247</v>
      </c>
      <c r="E4" s="440"/>
      <c r="F4" s="440"/>
      <c r="G4" s="441"/>
      <c r="H4" s="439" t="s">
        <v>248</v>
      </c>
      <c r="I4" s="440"/>
      <c r="J4" s="440"/>
      <c r="K4" s="440"/>
    </row>
    <row r="5" spans="1:18" ht="20.100000000000001" customHeight="1">
      <c r="A5" s="152"/>
      <c r="B5" s="152"/>
      <c r="C5" s="198"/>
      <c r="D5" s="199" t="s">
        <v>163</v>
      </c>
      <c r="E5" s="200" t="s">
        <v>164</v>
      </c>
      <c r="F5" s="200" t="s">
        <v>165</v>
      </c>
      <c r="G5" s="201" t="s">
        <v>62</v>
      </c>
      <c r="H5" s="199" t="str">
        <f>D5</f>
        <v>Červenec</v>
      </c>
      <c r="I5" s="200" t="str">
        <f>E5</f>
        <v>Srpen</v>
      </c>
      <c r="J5" s="200" t="str">
        <f>F5</f>
        <v>Září</v>
      </c>
      <c r="K5" s="202" t="str">
        <f>G5</f>
        <v>III. čtvrtletí</v>
      </c>
    </row>
    <row r="6" spans="1:18" ht="15" customHeight="1">
      <c r="A6" s="429" t="s">
        <v>48</v>
      </c>
      <c r="B6" s="442" t="s">
        <v>20</v>
      </c>
      <c r="C6" s="153" t="s">
        <v>22</v>
      </c>
      <c r="D6" s="154">
        <v>1182732.2209999999</v>
      </c>
      <c r="E6" s="155">
        <v>780384.93500000006</v>
      </c>
      <c r="F6" s="155">
        <v>605850.55000000005</v>
      </c>
      <c r="G6" s="156">
        <f>SUM(D6:F6)</f>
        <v>2568967.7060000002</v>
      </c>
      <c r="H6" s="154">
        <v>13018306.557</v>
      </c>
      <c r="I6" s="155">
        <v>8600657.5069999993</v>
      </c>
      <c r="J6" s="155">
        <v>6703238.2139999997</v>
      </c>
      <c r="K6" s="157">
        <f>SUM(H6:J6)</f>
        <v>28322202.277999997</v>
      </c>
      <c r="L6" s="42"/>
      <c r="M6" s="42"/>
      <c r="N6" s="42"/>
      <c r="O6" s="42"/>
      <c r="P6" s="42"/>
      <c r="Q6" s="42"/>
      <c r="R6" s="42"/>
    </row>
    <row r="7" spans="1:18" ht="15" customHeight="1">
      <c r="A7" s="429"/>
      <c r="B7" s="442"/>
      <c r="C7" s="153" t="s">
        <v>23</v>
      </c>
      <c r="D7" s="154">
        <v>29.705414032</v>
      </c>
      <c r="E7" s="155">
        <v>31.566336463999999</v>
      </c>
      <c r="F7" s="155">
        <v>59.880350487999998</v>
      </c>
      <c r="G7" s="156">
        <f>SUM(D7:F7)</f>
        <v>121.15210098399999</v>
      </c>
      <c r="H7" s="154">
        <v>325.19387999999998</v>
      </c>
      <c r="I7" s="155">
        <v>345.65308499999998</v>
      </c>
      <c r="J7" s="155">
        <v>657.569031</v>
      </c>
      <c r="K7" s="157">
        <f t="shared" ref="K7:K50" si="0">SUM(H7:J7)</f>
        <v>1328.415996</v>
      </c>
      <c r="L7" s="42"/>
      <c r="M7" s="42"/>
      <c r="N7" s="42"/>
      <c r="O7" s="42"/>
      <c r="P7" s="42"/>
      <c r="Q7" s="42"/>
    </row>
    <row r="8" spans="1:18" ht="15" customHeight="1">
      <c r="A8" s="429"/>
      <c r="B8" s="443"/>
      <c r="C8" s="158" t="s">
        <v>24</v>
      </c>
      <c r="D8" s="159">
        <v>1182761.926414032</v>
      </c>
      <c r="E8" s="160">
        <v>780416.50133646408</v>
      </c>
      <c r="F8" s="160">
        <v>605910.43035048805</v>
      </c>
      <c r="G8" s="161">
        <f t="shared" ref="G8" si="1">SUM(D8:F8)</f>
        <v>2569088.8581009842</v>
      </c>
      <c r="H8" s="159">
        <v>13018631.750879999</v>
      </c>
      <c r="I8" s="160">
        <v>8601003.1600850001</v>
      </c>
      <c r="J8" s="160">
        <v>6703895.7830309998</v>
      </c>
      <c r="K8" s="162">
        <f t="shared" si="0"/>
        <v>28323530.693995997</v>
      </c>
      <c r="L8" s="42"/>
      <c r="M8" s="42"/>
      <c r="N8" s="42"/>
      <c r="O8" s="42"/>
      <c r="P8" s="42"/>
      <c r="Q8" s="42"/>
    </row>
    <row r="9" spans="1:18" ht="15" customHeight="1">
      <c r="A9" s="429"/>
      <c r="B9" s="444" t="s">
        <v>21</v>
      </c>
      <c r="C9" s="163" t="s">
        <v>22</v>
      </c>
      <c r="D9" s="164">
        <v>378836.47899999999</v>
      </c>
      <c r="E9" s="165">
        <v>15449.398000000003</v>
      </c>
      <c r="F9" s="165">
        <v>26261.833000000002</v>
      </c>
      <c r="G9" s="166">
        <f>SUM(D9:F9)</f>
        <v>420547.70999999996</v>
      </c>
      <c r="H9" s="164">
        <v>4163002.9249999998</v>
      </c>
      <c r="I9" s="165">
        <v>170278.81099999999</v>
      </c>
      <c r="J9" s="165">
        <v>289956.85600000003</v>
      </c>
      <c r="K9" s="167">
        <f t="shared" si="0"/>
        <v>4623238.5919999992</v>
      </c>
      <c r="L9" s="42"/>
      <c r="M9" s="42"/>
      <c r="N9" s="42"/>
      <c r="O9" s="42"/>
      <c r="P9" s="42"/>
      <c r="Q9" s="42"/>
    </row>
    <row r="10" spans="1:18" ht="15" customHeight="1">
      <c r="A10" s="429"/>
      <c r="B10" s="442"/>
      <c r="C10" s="153" t="s">
        <v>23</v>
      </c>
      <c r="D10" s="154">
        <v>8.3346943069999995</v>
      </c>
      <c r="E10" s="155">
        <v>9.5147594269999995</v>
      </c>
      <c r="F10" s="155">
        <v>10.975084163</v>
      </c>
      <c r="G10" s="156">
        <f>SUM(D10:F10)</f>
        <v>28.824537896999999</v>
      </c>
      <c r="H10" s="154">
        <v>91.570718299999996</v>
      </c>
      <c r="I10" s="155">
        <v>104.8298542</v>
      </c>
      <c r="J10" s="155">
        <v>121.33868409999999</v>
      </c>
      <c r="K10" s="157">
        <f t="shared" si="0"/>
        <v>317.73925659999998</v>
      </c>
      <c r="L10" s="42"/>
      <c r="M10" s="42"/>
      <c r="N10" s="42"/>
      <c r="O10" s="42"/>
      <c r="P10" s="42"/>
      <c r="Q10" s="42"/>
    </row>
    <row r="11" spans="1:18" ht="15" customHeight="1">
      <c r="A11" s="429"/>
      <c r="B11" s="443"/>
      <c r="C11" s="158" t="s">
        <v>24</v>
      </c>
      <c r="D11" s="159">
        <v>378844.813694307</v>
      </c>
      <c r="E11" s="160">
        <v>15458.912759427003</v>
      </c>
      <c r="F11" s="160">
        <v>26272.808084163004</v>
      </c>
      <c r="G11" s="161">
        <f t="shared" ref="G11" si="2">SUM(D11:F11)</f>
        <v>420576.53453789698</v>
      </c>
      <c r="H11" s="159">
        <v>4163094.4957182999</v>
      </c>
      <c r="I11" s="160">
        <v>170383.6408542</v>
      </c>
      <c r="J11" s="160">
        <v>290078.19468410005</v>
      </c>
      <c r="K11" s="162">
        <f t="shared" si="0"/>
        <v>4623556.3312566001</v>
      </c>
      <c r="L11" s="42"/>
      <c r="M11" s="42"/>
      <c r="N11" s="42"/>
      <c r="O11" s="42"/>
      <c r="P11" s="42"/>
      <c r="Q11" s="42"/>
    </row>
    <row r="12" spans="1:18" ht="15" customHeight="1">
      <c r="A12" s="429"/>
      <c r="B12" s="432" t="s">
        <v>50</v>
      </c>
      <c r="C12" s="153" t="s">
        <v>22</v>
      </c>
      <c r="D12" s="154">
        <v>803895.74199999985</v>
      </c>
      <c r="E12" s="155">
        <v>764935.53700000001</v>
      </c>
      <c r="F12" s="155">
        <v>579588.71700000006</v>
      </c>
      <c r="G12" s="156">
        <f>SUM(D12:F12)</f>
        <v>2148419.9959999998</v>
      </c>
      <c r="H12" s="154">
        <v>8855303.6319999993</v>
      </c>
      <c r="I12" s="155">
        <v>8430378.6959999986</v>
      </c>
      <c r="J12" s="155">
        <v>6413281.358</v>
      </c>
      <c r="K12" s="157">
        <f t="shared" si="0"/>
        <v>23698963.685999997</v>
      </c>
      <c r="L12" s="42"/>
      <c r="M12" s="42"/>
      <c r="N12" s="42"/>
      <c r="O12" s="42"/>
      <c r="P12" s="42"/>
      <c r="Q12" s="42"/>
    </row>
    <row r="13" spans="1:18" ht="15" customHeight="1">
      <c r="A13" s="429"/>
      <c r="B13" s="442"/>
      <c r="C13" s="153" t="s">
        <v>23</v>
      </c>
      <c r="D13" s="154">
        <v>21.370719725000001</v>
      </c>
      <c r="E13" s="155">
        <v>22.051577037000001</v>
      </c>
      <c r="F13" s="155">
        <v>48.905266324999999</v>
      </c>
      <c r="G13" s="156">
        <f>SUM(D13:F13)</f>
        <v>92.327563087000001</v>
      </c>
      <c r="H13" s="154">
        <v>233.62316169999997</v>
      </c>
      <c r="I13" s="155">
        <v>240.82323079999998</v>
      </c>
      <c r="J13" s="155">
        <v>536.23034689999997</v>
      </c>
      <c r="K13" s="157">
        <f t="shared" si="0"/>
        <v>1010.6767393999999</v>
      </c>
      <c r="L13" s="42"/>
      <c r="M13" s="42"/>
      <c r="N13" s="42"/>
      <c r="O13" s="42"/>
      <c r="P13" s="42"/>
      <c r="Q13" s="42"/>
    </row>
    <row r="14" spans="1:18" ht="15" customHeight="1">
      <c r="A14" s="430"/>
      <c r="B14" s="443"/>
      <c r="C14" s="158" t="s">
        <v>24</v>
      </c>
      <c r="D14" s="159">
        <v>803917.11271972489</v>
      </c>
      <c r="E14" s="160">
        <v>764957.58857703698</v>
      </c>
      <c r="F14" s="160">
        <v>579637.62226632505</v>
      </c>
      <c r="G14" s="161">
        <f t="shared" ref="G14:G54" si="3">SUM(D14:F14)</f>
        <v>2148512.3235630868</v>
      </c>
      <c r="H14" s="159">
        <v>8855537.2551616989</v>
      </c>
      <c r="I14" s="160">
        <v>8430619.5192307979</v>
      </c>
      <c r="J14" s="160">
        <v>6413817.5883469004</v>
      </c>
      <c r="K14" s="162">
        <f t="shared" si="0"/>
        <v>23699974.362739399</v>
      </c>
      <c r="L14" s="42"/>
      <c r="M14" s="42"/>
      <c r="N14" s="42"/>
      <c r="O14" s="42"/>
      <c r="P14" s="42"/>
      <c r="Q14" s="42"/>
    </row>
    <row r="15" spans="1:18" ht="14.1" customHeight="1">
      <c r="A15" s="428" t="s">
        <v>147</v>
      </c>
      <c r="B15" s="444" t="s">
        <v>25</v>
      </c>
      <c r="C15" s="163" t="s">
        <v>301</v>
      </c>
      <c r="D15" s="164">
        <v>0</v>
      </c>
      <c r="E15" s="165">
        <v>0</v>
      </c>
      <c r="F15" s="165">
        <v>27.768999999999998</v>
      </c>
      <c r="G15" s="166">
        <f t="shared" si="3"/>
        <v>27.768999999999998</v>
      </c>
      <c r="H15" s="164">
        <v>0</v>
      </c>
      <c r="I15" s="165">
        <v>0</v>
      </c>
      <c r="J15" s="165">
        <v>307.15600000000001</v>
      </c>
      <c r="K15" s="167">
        <f t="shared" si="0"/>
        <v>307.15600000000001</v>
      </c>
      <c r="L15" s="42"/>
      <c r="M15" s="42"/>
      <c r="N15" s="42"/>
      <c r="O15" s="42"/>
      <c r="P15" s="42"/>
      <c r="Q15" s="42"/>
    </row>
    <row r="16" spans="1:18" ht="14.1" customHeight="1">
      <c r="A16" s="429"/>
      <c r="B16" s="442"/>
      <c r="C16" s="153" t="s">
        <v>201</v>
      </c>
      <c r="D16" s="154">
        <v>0</v>
      </c>
      <c r="E16" s="155">
        <v>0</v>
      </c>
      <c r="F16" s="155">
        <v>43.008000000000003</v>
      </c>
      <c r="G16" s="156">
        <f>SUM(D16:F16)</f>
        <v>43.008000000000003</v>
      </c>
      <c r="H16" s="154">
        <v>0</v>
      </c>
      <c r="I16" s="155">
        <v>0</v>
      </c>
      <c r="J16" s="155">
        <v>475.238</v>
      </c>
      <c r="K16" s="157">
        <f t="shared" si="0"/>
        <v>475.238</v>
      </c>
      <c r="L16" s="42"/>
      <c r="M16" s="42"/>
      <c r="N16" s="42"/>
      <c r="O16" s="42"/>
      <c r="P16" s="42"/>
      <c r="Q16" s="42"/>
    </row>
    <row r="17" spans="1:17" ht="14.1" customHeight="1">
      <c r="A17" s="429"/>
      <c r="B17" s="442"/>
      <c r="C17" s="153" t="s">
        <v>303</v>
      </c>
      <c r="D17" s="154">
        <v>0</v>
      </c>
      <c r="E17" s="155">
        <v>0</v>
      </c>
      <c r="F17" s="155">
        <v>0</v>
      </c>
      <c r="G17" s="156">
        <f>SUM(D17:F17)</f>
        <v>0</v>
      </c>
      <c r="H17" s="154">
        <v>0</v>
      </c>
      <c r="I17" s="155">
        <v>0</v>
      </c>
      <c r="J17" s="155">
        <v>0</v>
      </c>
      <c r="K17" s="157">
        <f t="shared" si="0"/>
        <v>0</v>
      </c>
      <c r="L17" s="42"/>
      <c r="M17" s="42"/>
      <c r="N17" s="42"/>
      <c r="O17" s="42"/>
      <c r="P17" s="42"/>
      <c r="Q17" s="42"/>
    </row>
    <row r="18" spans="1:17" ht="14.1" customHeight="1">
      <c r="A18" s="429"/>
      <c r="B18" s="442"/>
      <c r="C18" s="153" t="s">
        <v>319</v>
      </c>
      <c r="D18" s="154">
        <v>0</v>
      </c>
      <c r="E18" s="155">
        <v>0</v>
      </c>
      <c r="F18" s="155">
        <v>0</v>
      </c>
      <c r="G18" s="156">
        <f>SUM(D18:F18)</f>
        <v>0</v>
      </c>
      <c r="H18" s="154">
        <v>0</v>
      </c>
      <c r="I18" s="155">
        <v>0</v>
      </c>
      <c r="J18" s="155">
        <v>0</v>
      </c>
      <c r="K18" s="157">
        <f t="shared" si="0"/>
        <v>0</v>
      </c>
      <c r="L18" s="42"/>
      <c r="M18" s="42"/>
      <c r="N18" s="42"/>
      <c r="O18" s="42"/>
      <c r="P18" s="42"/>
      <c r="Q18" s="42"/>
    </row>
    <row r="19" spans="1:17" ht="14.1" customHeight="1">
      <c r="A19" s="429"/>
      <c r="B19" s="443"/>
      <c r="C19" s="158" t="s">
        <v>24</v>
      </c>
      <c r="D19" s="159">
        <v>0</v>
      </c>
      <c r="E19" s="160">
        <v>0</v>
      </c>
      <c r="F19" s="160">
        <v>70.777000000000001</v>
      </c>
      <c r="G19" s="161">
        <f>SUM(D19:F19)</f>
        <v>70.777000000000001</v>
      </c>
      <c r="H19" s="159">
        <v>0</v>
      </c>
      <c r="I19" s="160">
        <v>0</v>
      </c>
      <c r="J19" s="160">
        <v>782.39400000000001</v>
      </c>
      <c r="K19" s="162">
        <f>SUM(H19:J19)</f>
        <v>782.39400000000001</v>
      </c>
      <c r="L19" s="42"/>
      <c r="M19" s="42"/>
      <c r="N19" s="42"/>
      <c r="O19" s="42"/>
      <c r="P19" s="42"/>
      <c r="Q19" s="42"/>
    </row>
    <row r="20" spans="1:17" ht="14.1" customHeight="1">
      <c r="A20" s="429"/>
      <c r="B20" s="444" t="s">
        <v>26</v>
      </c>
      <c r="C20" s="163" t="s">
        <v>301</v>
      </c>
      <c r="D20" s="164">
        <v>409429.54399999999</v>
      </c>
      <c r="E20" s="165">
        <v>427441.158</v>
      </c>
      <c r="F20" s="165">
        <v>217340.59900000002</v>
      </c>
      <c r="G20" s="166">
        <f t="shared" si="3"/>
        <v>1054211.301</v>
      </c>
      <c r="H20" s="164">
        <v>4505928.904379</v>
      </c>
      <c r="I20" s="165">
        <v>4711602.7169300001</v>
      </c>
      <c r="J20" s="165">
        <v>2403070.4402489997</v>
      </c>
      <c r="K20" s="167">
        <f t="shared" si="0"/>
        <v>11620602.061558001</v>
      </c>
      <c r="L20" s="42"/>
      <c r="M20" s="42"/>
      <c r="N20" s="42"/>
      <c r="O20" s="42"/>
      <c r="P20" s="42"/>
      <c r="Q20" s="42"/>
    </row>
    <row r="21" spans="1:17" ht="14.1" customHeight="1">
      <c r="A21" s="429"/>
      <c r="B21" s="442"/>
      <c r="C21" s="153" t="s">
        <v>201</v>
      </c>
      <c r="D21" s="154">
        <v>24365.044000000002</v>
      </c>
      <c r="E21" s="155">
        <v>46196.543000000005</v>
      </c>
      <c r="F21" s="155">
        <v>25749.177999999996</v>
      </c>
      <c r="G21" s="156">
        <f t="shared" si="3"/>
        <v>96310.764999999999</v>
      </c>
      <c r="H21" s="154">
        <v>270619.69045300002</v>
      </c>
      <c r="I21" s="155">
        <v>510632.20920499996</v>
      </c>
      <c r="J21" s="155">
        <v>285100.03081499995</v>
      </c>
      <c r="K21" s="157">
        <f t="shared" si="0"/>
        <v>1066351.9304729998</v>
      </c>
      <c r="L21" s="42"/>
      <c r="M21" s="42"/>
      <c r="N21" s="42"/>
      <c r="O21" s="42"/>
      <c r="P21" s="42"/>
      <c r="Q21" s="42"/>
    </row>
    <row r="22" spans="1:17" ht="14.1" customHeight="1">
      <c r="A22" s="429"/>
      <c r="B22" s="442"/>
      <c r="C22" s="153" t="s">
        <v>303</v>
      </c>
      <c r="D22" s="154">
        <v>95477.524999999994</v>
      </c>
      <c r="E22" s="155">
        <v>39127.102999999988</v>
      </c>
      <c r="F22" s="155">
        <v>11361.839000000004</v>
      </c>
      <c r="G22" s="156">
        <f t="shared" si="3"/>
        <v>145966.46699999998</v>
      </c>
      <c r="H22" s="154">
        <v>1048891.4035470001</v>
      </c>
      <c r="I22" s="155">
        <v>430124.745795</v>
      </c>
      <c r="J22" s="155">
        <v>125726.06518500007</v>
      </c>
      <c r="K22" s="157">
        <f t="shared" si="0"/>
        <v>1604742.2145270002</v>
      </c>
      <c r="L22" s="42"/>
      <c r="M22" s="42"/>
      <c r="N22" s="42"/>
      <c r="O22" s="42"/>
      <c r="P22" s="42"/>
      <c r="Q22" s="42"/>
    </row>
    <row r="23" spans="1:17" ht="14.1" customHeight="1">
      <c r="A23" s="429"/>
      <c r="B23" s="442"/>
      <c r="C23" s="153" t="s">
        <v>319</v>
      </c>
      <c r="D23" s="154">
        <v>0</v>
      </c>
      <c r="E23" s="155">
        <v>0</v>
      </c>
      <c r="F23" s="155">
        <v>21663.848999999998</v>
      </c>
      <c r="G23" s="156">
        <f t="shared" si="3"/>
        <v>21663.848999999998</v>
      </c>
      <c r="H23" s="154">
        <v>0</v>
      </c>
      <c r="I23" s="155">
        <v>0</v>
      </c>
      <c r="J23" s="155">
        <v>239674.85699999999</v>
      </c>
      <c r="K23" s="157">
        <f t="shared" si="0"/>
        <v>239674.85699999999</v>
      </c>
      <c r="L23" s="42"/>
      <c r="M23" s="42"/>
      <c r="N23" s="42"/>
      <c r="O23" s="42"/>
      <c r="P23" s="42"/>
      <c r="Q23" s="42"/>
    </row>
    <row r="24" spans="1:17" ht="14.1" customHeight="1">
      <c r="A24" s="429"/>
      <c r="B24" s="443"/>
      <c r="C24" s="158" t="s">
        <v>24</v>
      </c>
      <c r="D24" s="159">
        <v>529272.11300000001</v>
      </c>
      <c r="E24" s="160">
        <v>512764.804</v>
      </c>
      <c r="F24" s="160">
        <v>254451.61600000001</v>
      </c>
      <c r="G24" s="161">
        <f t="shared" si="3"/>
        <v>1296488.5330000001</v>
      </c>
      <c r="H24" s="159">
        <v>5825439.9983790005</v>
      </c>
      <c r="I24" s="160">
        <v>5652359.6719300002</v>
      </c>
      <c r="J24" s="160">
        <v>2813896.5362489996</v>
      </c>
      <c r="K24" s="162">
        <f t="shared" si="0"/>
        <v>14291696.206558</v>
      </c>
      <c r="L24" s="42"/>
      <c r="M24" s="42"/>
      <c r="N24" s="42"/>
      <c r="O24" s="42"/>
      <c r="P24" s="42"/>
      <c r="Q24" s="42"/>
    </row>
    <row r="25" spans="1:17" ht="14.1" customHeight="1">
      <c r="A25" s="429"/>
      <c r="B25" s="432" t="s">
        <v>51</v>
      </c>
      <c r="C25" s="163" t="s">
        <v>301</v>
      </c>
      <c r="D25" s="154">
        <v>-409429.54399999999</v>
      </c>
      <c r="E25" s="155">
        <v>-427441.158</v>
      </c>
      <c r="F25" s="155">
        <v>-217312.83000000002</v>
      </c>
      <c r="G25" s="156">
        <f t="shared" si="3"/>
        <v>-1054183.5320000001</v>
      </c>
      <c r="H25" s="154">
        <v>-4505928.904379</v>
      </c>
      <c r="I25" s="155">
        <v>-4711602.7169300001</v>
      </c>
      <c r="J25" s="155">
        <v>-2402763.2842489998</v>
      </c>
      <c r="K25" s="157">
        <f t="shared" si="0"/>
        <v>-11620294.905558001</v>
      </c>
      <c r="L25" s="42"/>
      <c r="M25" s="42"/>
      <c r="N25" s="42"/>
      <c r="O25" s="42"/>
      <c r="P25" s="42"/>
      <c r="Q25" s="42"/>
    </row>
    <row r="26" spans="1:17" ht="14.1" customHeight="1">
      <c r="A26" s="429"/>
      <c r="B26" s="442"/>
      <c r="C26" s="153" t="s">
        <v>201</v>
      </c>
      <c r="D26" s="154">
        <v>-24365.044000000002</v>
      </c>
      <c r="E26" s="155">
        <v>-46196.543000000005</v>
      </c>
      <c r="F26" s="155">
        <v>-25706.169999999995</v>
      </c>
      <c r="G26" s="156">
        <f t="shared" si="3"/>
        <v>-96267.756999999998</v>
      </c>
      <c r="H26" s="154">
        <v>-270619.69045300002</v>
      </c>
      <c r="I26" s="155">
        <v>-510632.20920499996</v>
      </c>
      <c r="J26" s="155">
        <v>-284624.79281499994</v>
      </c>
      <c r="K26" s="157">
        <f t="shared" si="0"/>
        <v>-1065876.6924729999</v>
      </c>
      <c r="L26" s="42"/>
      <c r="M26" s="42"/>
      <c r="N26" s="42"/>
      <c r="O26" s="42"/>
      <c r="P26" s="42"/>
      <c r="Q26" s="42"/>
    </row>
    <row r="27" spans="1:17" ht="14.1" customHeight="1">
      <c r="A27" s="429"/>
      <c r="B27" s="442"/>
      <c r="C27" s="153" t="s">
        <v>303</v>
      </c>
      <c r="D27" s="154">
        <v>-95477.524999999994</v>
      </c>
      <c r="E27" s="155">
        <v>-39127.102999999988</v>
      </c>
      <c r="F27" s="155">
        <v>-11361.839000000004</v>
      </c>
      <c r="G27" s="156">
        <f t="shared" si="3"/>
        <v>-145966.46699999998</v>
      </c>
      <c r="H27" s="154">
        <v>-1048891.4035470001</v>
      </c>
      <c r="I27" s="155">
        <v>-430124.745795</v>
      </c>
      <c r="J27" s="155">
        <v>-125726.06518500007</v>
      </c>
      <c r="K27" s="157">
        <f t="shared" si="0"/>
        <v>-1604742.2145270002</v>
      </c>
      <c r="L27" s="42"/>
      <c r="M27" s="42"/>
      <c r="N27" s="42"/>
      <c r="O27" s="42"/>
      <c r="P27" s="42"/>
      <c r="Q27" s="42"/>
    </row>
    <row r="28" spans="1:17" ht="14.1" customHeight="1">
      <c r="A28" s="429"/>
      <c r="B28" s="442"/>
      <c r="C28" s="153" t="s">
        <v>319</v>
      </c>
      <c r="D28" s="154">
        <v>0</v>
      </c>
      <c r="E28" s="155">
        <v>0</v>
      </c>
      <c r="F28" s="155">
        <v>-21663.848999999998</v>
      </c>
      <c r="G28" s="156">
        <f t="shared" si="3"/>
        <v>-21663.848999999998</v>
      </c>
      <c r="H28" s="154">
        <v>0</v>
      </c>
      <c r="I28" s="155">
        <v>0</v>
      </c>
      <c r="J28" s="155">
        <v>-239674.85699999999</v>
      </c>
      <c r="K28" s="157">
        <f t="shared" si="0"/>
        <v>-239674.85699999999</v>
      </c>
      <c r="L28" s="42"/>
      <c r="M28" s="42"/>
      <c r="N28" s="42"/>
      <c r="O28" s="42"/>
      <c r="P28" s="42"/>
      <c r="Q28" s="42"/>
    </row>
    <row r="29" spans="1:17" ht="14.1" customHeight="1">
      <c r="A29" s="429"/>
      <c r="B29" s="443"/>
      <c r="C29" s="158" t="s">
        <v>24</v>
      </c>
      <c r="D29" s="159">
        <v>-529272.11300000001</v>
      </c>
      <c r="E29" s="160">
        <v>-512764.804</v>
      </c>
      <c r="F29" s="160">
        <v>-254380.83900000001</v>
      </c>
      <c r="G29" s="161">
        <f t="shared" si="3"/>
        <v>-1296417.7560000001</v>
      </c>
      <c r="H29" s="159">
        <v>-5825439.9983790005</v>
      </c>
      <c r="I29" s="160">
        <v>-5652359.6719300002</v>
      </c>
      <c r="J29" s="160">
        <v>-2813114.1422489998</v>
      </c>
      <c r="K29" s="162">
        <f t="shared" si="0"/>
        <v>-14290913.812557999</v>
      </c>
      <c r="L29" s="42"/>
      <c r="M29" s="42"/>
      <c r="N29" s="42"/>
      <c r="O29" s="42"/>
      <c r="P29" s="42"/>
      <c r="Q29" s="42"/>
    </row>
    <row r="30" spans="1:17" ht="15" customHeight="1">
      <c r="A30" s="430"/>
      <c r="B30" s="427" t="s">
        <v>53</v>
      </c>
      <c r="C30" s="427"/>
      <c r="D30" s="159">
        <v>2583471.5087324912</v>
      </c>
      <c r="E30" s="160">
        <v>3094424.2897324925</v>
      </c>
      <c r="F30" s="160">
        <v>3347762.0947324927</v>
      </c>
      <c r="G30" s="161">
        <f>F30</f>
        <v>3347762.0947324927</v>
      </c>
      <c r="H30" s="159">
        <v>28429957.558306139</v>
      </c>
      <c r="I30" s="160">
        <v>34062311.067536138</v>
      </c>
      <c r="J30" s="160">
        <v>36863762.537582144</v>
      </c>
      <c r="K30" s="162">
        <f>J30</f>
        <v>36863762.537582144</v>
      </c>
      <c r="L30" s="42"/>
      <c r="M30" s="42"/>
      <c r="N30" s="42"/>
      <c r="O30" s="42"/>
      <c r="P30" s="42"/>
      <c r="Q30" s="42"/>
    </row>
    <row r="31" spans="1:17" ht="15" customHeight="1">
      <c r="A31" s="428" t="s">
        <v>49</v>
      </c>
      <c r="B31" s="431" t="s">
        <v>191</v>
      </c>
      <c r="C31" s="163" t="s">
        <v>27</v>
      </c>
      <c r="D31" s="164">
        <v>10029.448</v>
      </c>
      <c r="E31" s="165">
        <v>10338.092999999997</v>
      </c>
      <c r="F31" s="165">
        <v>8944.2520000000004</v>
      </c>
      <c r="G31" s="166">
        <f t="shared" si="3"/>
        <v>29311.792999999998</v>
      </c>
      <c r="H31" s="164">
        <v>108644.20130335301</v>
      </c>
      <c r="I31" s="165">
        <v>112200.33332448702</v>
      </c>
      <c r="J31" s="165">
        <v>96819.793347207014</v>
      </c>
      <c r="K31" s="167">
        <f t="shared" si="0"/>
        <v>317664.32797504705</v>
      </c>
      <c r="L31" s="42"/>
      <c r="M31" s="42"/>
      <c r="N31" s="42"/>
      <c r="O31" s="42"/>
      <c r="P31" s="42"/>
      <c r="Q31" s="42"/>
    </row>
    <row r="32" spans="1:17" ht="15" customHeight="1">
      <c r="A32" s="429"/>
      <c r="B32" s="432"/>
      <c r="C32" s="153" t="s">
        <v>30</v>
      </c>
      <c r="D32" s="154">
        <v>166.10800000000052</v>
      </c>
      <c r="E32" s="155">
        <v>153.67199999999929</v>
      </c>
      <c r="F32" s="155">
        <v>154.31099999999913</v>
      </c>
      <c r="G32" s="156">
        <f t="shared" si="3"/>
        <v>474.09099999999893</v>
      </c>
      <c r="H32" s="154">
        <v>1922.3000000000181</v>
      </c>
      <c r="I32" s="155">
        <v>1710.9239999999863</v>
      </c>
      <c r="J32" s="155">
        <v>1844.8529999999796</v>
      </c>
      <c r="K32" s="157">
        <f t="shared" si="0"/>
        <v>5478.0769999999848</v>
      </c>
      <c r="L32" s="42"/>
      <c r="M32" s="42"/>
      <c r="N32" s="42"/>
      <c r="O32" s="42"/>
      <c r="P32" s="42"/>
      <c r="Q32" s="42"/>
    </row>
    <row r="33" spans="1:17" ht="15" customHeight="1">
      <c r="A33" s="429"/>
      <c r="B33" s="433"/>
      <c r="C33" s="158" t="s">
        <v>24</v>
      </c>
      <c r="D33" s="159">
        <v>10195.556</v>
      </c>
      <c r="E33" s="160">
        <v>10491.764999999996</v>
      </c>
      <c r="F33" s="160">
        <v>9098.5630000000001</v>
      </c>
      <c r="G33" s="161">
        <f t="shared" si="3"/>
        <v>29785.883999999998</v>
      </c>
      <c r="H33" s="159">
        <v>110566.50130335303</v>
      </c>
      <c r="I33" s="160">
        <v>113911.257324487</v>
      </c>
      <c r="J33" s="160">
        <v>98664.646347206988</v>
      </c>
      <c r="K33" s="162">
        <f t="shared" si="0"/>
        <v>323142.40497504699</v>
      </c>
      <c r="L33" s="42"/>
      <c r="M33" s="42"/>
      <c r="N33" s="42"/>
      <c r="O33" s="42"/>
      <c r="P33" s="42"/>
      <c r="Q33" s="42"/>
    </row>
    <row r="34" spans="1:17" ht="15" customHeight="1">
      <c r="A34" s="429"/>
      <c r="B34" s="432" t="s">
        <v>192</v>
      </c>
      <c r="C34" s="153" t="s">
        <v>27</v>
      </c>
      <c r="D34" s="154">
        <v>482.75300000000004</v>
      </c>
      <c r="E34" s="155">
        <v>452.14700000000005</v>
      </c>
      <c r="F34" s="155">
        <v>499.46799999999996</v>
      </c>
      <c r="G34" s="156">
        <f t="shared" si="3"/>
        <v>1434.3679999999999</v>
      </c>
      <c r="H34" s="154">
        <v>5075.1359999999995</v>
      </c>
      <c r="I34" s="155">
        <v>4780.1010000000006</v>
      </c>
      <c r="J34" s="155">
        <v>5258.7120000000004</v>
      </c>
      <c r="K34" s="157">
        <f t="shared" si="0"/>
        <v>15113.949000000001</v>
      </c>
      <c r="L34" s="42"/>
      <c r="M34" s="42"/>
      <c r="N34" s="42"/>
      <c r="O34" s="42"/>
      <c r="P34" s="42"/>
      <c r="Q34" s="42"/>
    </row>
    <row r="35" spans="1:17" ht="15" customHeight="1">
      <c r="A35" s="429"/>
      <c r="B35" s="432"/>
      <c r="C35" s="153" t="s">
        <v>30</v>
      </c>
      <c r="D35" s="154">
        <v>0</v>
      </c>
      <c r="E35" s="155">
        <v>0</v>
      </c>
      <c r="F35" s="155">
        <v>0</v>
      </c>
      <c r="G35" s="156">
        <f t="shared" si="3"/>
        <v>0</v>
      </c>
      <c r="H35" s="154">
        <v>0</v>
      </c>
      <c r="I35" s="155">
        <v>0</v>
      </c>
      <c r="J35" s="155">
        <v>0</v>
      </c>
      <c r="K35" s="157">
        <f t="shared" si="0"/>
        <v>0</v>
      </c>
      <c r="L35" s="42"/>
      <c r="M35" s="42"/>
      <c r="N35" s="42"/>
      <c r="O35" s="42"/>
      <c r="P35" s="42"/>
      <c r="Q35" s="42"/>
    </row>
    <row r="36" spans="1:17" ht="15" customHeight="1">
      <c r="A36" s="429"/>
      <c r="B36" s="433"/>
      <c r="C36" s="158" t="s">
        <v>24</v>
      </c>
      <c r="D36" s="159">
        <v>482.75300000000004</v>
      </c>
      <c r="E36" s="160">
        <v>452.14700000000005</v>
      </c>
      <c r="F36" s="160">
        <v>499.46799999999996</v>
      </c>
      <c r="G36" s="161">
        <f t="shared" si="3"/>
        <v>1434.3679999999999</v>
      </c>
      <c r="H36" s="159">
        <v>5075.1359999999995</v>
      </c>
      <c r="I36" s="160">
        <v>4780.1010000000006</v>
      </c>
      <c r="J36" s="160">
        <v>5258.7120000000004</v>
      </c>
      <c r="K36" s="162">
        <f t="shared" si="0"/>
        <v>15113.949000000001</v>
      </c>
      <c r="L36" s="42"/>
      <c r="M36" s="42"/>
      <c r="N36" s="42"/>
      <c r="O36" s="42"/>
      <c r="P36" s="42"/>
      <c r="Q36" s="42"/>
    </row>
    <row r="37" spans="1:17" ht="15" customHeight="1">
      <c r="A37" s="429"/>
      <c r="B37" s="432" t="s">
        <v>24</v>
      </c>
      <c r="C37" s="153" t="s">
        <v>27</v>
      </c>
      <c r="D37" s="154">
        <v>10512.201000000001</v>
      </c>
      <c r="E37" s="155">
        <v>10790.239999999998</v>
      </c>
      <c r="F37" s="155">
        <v>9443.7200000000012</v>
      </c>
      <c r="G37" s="156">
        <f t="shared" si="3"/>
        <v>30746.161</v>
      </c>
      <c r="H37" s="154">
        <v>113719.33730335301</v>
      </c>
      <c r="I37" s="155">
        <v>116980.43432448701</v>
      </c>
      <c r="J37" s="155">
        <v>102078.50534720701</v>
      </c>
      <c r="K37" s="157">
        <f t="shared" si="0"/>
        <v>332778.27697504702</v>
      </c>
      <c r="L37" s="42"/>
      <c r="M37" s="42"/>
      <c r="N37" s="42"/>
      <c r="O37" s="42"/>
      <c r="P37" s="42"/>
      <c r="Q37" s="42"/>
    </row>
    <row r="38" spans="1:17" ht="15" customHeight="1">
      <c r="A38" s="429"/>
      <c r="B38" s="432"/>
      <c r="C38" s="153" t="s">
        <v>30</v>
      </c>
      <c r="D38" s="154">
        <v>166.10800000000052</v>
      </c>
      <c r="E38" s="155">
        <v>153.67199999999929</v>
      </c>
      <c r="F38" s="155">
        <v>154.31099999999913</v>
      </c>
      <c r="G38" s="156">
        <f t="shared" si="3"/>
        <v>474.09099999999893</v>
      </c>
      <c r="H38" s="154">
        <v>1922.3000000000181</v>
      </c>
      <c r="I38" s="155">
        <v>1710.9239999999863</v>
      </c>
      <c r="J38" s="155">
        <v>1844.8529999999796</v>
      </c>
      <c r="K38" s="157">
        <f t="shared" si="0"/>
        <v>5478.0769999999848</v>
      </c>
      <c r="L38" s="42"/>
      <c r="M38" s="42"/>
      <c r="N38" s="42"/>
      <c r="O38" s="42"/>
      <c r="P38" s="42"/>
      <c r="Q38" s="42"/>
    </row>
    <row r="39" spans="1:17" ht="15" customHeight="1">
      <c r="A39" s="430"/>
      <c r="B39" s="433"/>
      <c r="C39" s="158" t="s">
        <v>24</v>
      </c>
      <c r="D39" s="159">
        <v>10678.309000000001</v>
      </c>
      <c r="E39" s="160">
        <v>10943.911999999997</v>
      </c>
      <c r="F39" s="160">
        <v>9598.0310000000009</v>
      </c>
      <c r="G39" s="161">
        <f t="shared" si="3"/>
        <v>31220.252</v>
      </c>
      <c r="H39" s="159">
        <v>115641.63730335303</v>
      </c>
      <c r="I39" s="160">
        <v>118691.358324487</v>
      </c>
      <c r="J39" s="160">
        <v>103923.35834720699</v>
      </c>
      <c r="K39" s="162">
        <f t="shared" si="0"/>
        <v>338256.35397504701</v>
      </c>
      <c r="L39" s="42"/>
      <c r="M39" s="42"/>
      <c r="N39" s="42"/>
      <c r="O39" s="42"/>
      <c r="P39" s="42"/>
      <c r="Q39" s="42"/>
    </row>
    <row r="40" spans="1:17" ht="15" customHeight="1">
      <c r="A40" s="428" t="s">
        <v>63</v>
      </c>
      <c r="B40" s="431" t="s">
        <v>52</v>
      </c>
      <c r="C40" s="163" t="s">
        <v>65</v>
      </c>
      <c r="D40" s="164">
        <v>260518.236764273</v>
      </c>
      <c r="E40" s="165">
        <v>257344.93215524298</v>
      </c>
      <c r="F40" s="165">
        <v>317044.29831540398</v>
      </c>
      <c r="G40" s="166">
        <f t="shared" si="3"/>
        <v>834907.46723492001</v>
      </c>
      <c r="H40" s="164">
        <v>2861978.662762004</v>
      </c>
      <c r="I40" s="165">
        <v>2835819.7634559968</v>
      </c>
      <c r="J40" s="165">
        <v>3505663.3467300087</v>
      </c>
      <c r="K40" s="167">
        <f t="shared" si="0"/>
        <v>9203461.7729480099</v>
      </c>
      <c r="L40" s="42"/>
      <c r="M40" s="42"/>
      <c r="N40" s="42"/>
      <c r="O40" s="42"/>
      <c r="P40" s="42"/>
      <c r="Q40" s="42"/>
    </row>
    <row r="41" spans="1:17" ht="15" customHeight="1">
      <c r="A41" s="429"/>
      <c r="B41" s="432"/>
      <c r="C41" s="153" t="s">
        <v>28</v>
      </c>
      <c r="D41" s="154">
        <v>-169.17207583499993</v>
      </c>
      <c r="E41" s="155">
        <v>-434.93606585500009</v>
      </c>
      <c r="F41" s="155">
        <v>1772.3482215500001</v>
      </c>
      <c r="G41" s="156">
        <f t="shared" si="3"/>
        <v>1168.2400798600002</v>
      </c>
      <c r="H41" s="154">
        <v>-1872.0610399999982</v>
      </c>
      <c r="I41" s="155">
        <v>-4780.1263999999983</v>
      </c>
      <c r="J41" s="155">
        <v>19607.436679999999</v>
      </c>
      <c r="K41" s="157">
        <f t="shared" si="0"/>
        <v>12955.249240000003</v>
      </c>
      <c r="L41" s="42"/>
      <c r="M41" s="42"/>
      <c r="N41" s="42"/>
      <c r="O41" s="42"/>
      <c r="P41" s="42"/>
      <c r="Q41" s="42"/>
    </row>
    <row r="42" spans="1:17" ht="15" customHeight="1">
      <c r="A42" s="429"/>
      <c r="B42" s="433"/>
      <c r="C42" s="158" t="s">
        <v>24</v>
      </c>
      <c r="D42" s="159">
        <v>260349.064688438</v>
      </c>
      <c r="E42" s="160">
        <v>256909.99608938798</v>
      </c>
      <c r="F42" s="160">
        <v>318816.64653695398</v>
      </c>
      <c r="G42" s="161">
        <f t="shared" si="3"/>
        <v>836075.70731477998</v>
      </c>
      <c r="H42" s="159">
        <v>2860106.6017220039</v>
      </c>
      <c r="I42" s="160">
        <v>2831039.6370559968</v>
      </c>
      <c r="J42" s="160">
        <v>3525270.7834100085</v>
      </c>
      <c r="K42" s="162">
        <f t="shared" si="0"/>
        <v>9216417.0221880097</v>
      </c>
      <c r="L42" s="42"/>
      <c r="M42" s="42"/>
      <c r="N42" s="42"/>
      <c r="O42" s="42"/>
      <c r="P42" s="42"/>
      <c r="Q42" s="42"/>
    </row>
    <row r="43" spans="1:17" ht="15" customHeight="1">
      <c r="A43" s="429"/>
      <c r="B43" s="431" t="s">
        <v>297</v>
      </c>
      <c r="C43" s="163" t="s">
        <v>65</v>
      </c>
      <c r="D43" s="164">
        <v>453.78</v>
      </c>
      <c r="E43" s="165">
        <v>422.476</v>
      </c>
      <c r="F43" s="165">
        <v>470.26900000000001</v>
      </c>
      <c r="G43" s="166">
        <f t="shared" si="3"/>
        <v>1346.5250000000001</v>
      </c>
      <c r="H43" s="164">
        <v>4771.4269999999997</v>
      </c>
      <c r="I43" s="165">
        <v>4468.223</v>
      </c>
      <c r="J43" s="165">
        <v>4951.0739999999996</v>
      </c>
      <c r="K43" s="167">
        <f t="shared" si="0"/>
        <v>14190.723999999998</v>
      </c>
      <c r="L43" s="42"/>
      <c r="M43" s="42"/>
      <c r="N43" s="42"/>
      <c r="O43" s="42"/>
      <c r="P43" s="42"/>
      <c r="Q43" s="42"/>
    </row>
    <row r="44" spans="1:17" ht="15" customHeight="1">
      <c r="A44" s="429"/>
      <c r="B44" s="432"/>
      <c r="C44" s="153" t="s">
        <v>28</v>
      </c>
      <c r="D44" s="154">
        <v>0</v>
      </c>
      <c r="E44" s="155">
        <v>0</v>
      </c>
      <c r="F44" s="155">
        <v>0</v>
      </c>
      <c r="G44" s="156">
        <f t="shared" si="3"/>
        <v>0</v>
      </c>
      <c r="H44" s="154">
        <v>0</v>
      </c>
      <c r="I44" s="155">
        <v>0</v>
      </c>
      <c r="J44" s="155">
        <v>0</v>
      </c>
      <c r="K44" s="157">
        <f t="shared" si="0"/>
        <v>0</v>
      </c>
      <c r="L44" s="42"/>
      <c r="M44" s="42"/>
      <c r="N44" s="42"/>
      <c r="O44" s="42"/>
      <c r="P44" s="42"/>
      <c r="Q44" s="42"/>
    </row>
    <row r="45" spans="1:17" ht="15" customHeight="1">
      <c r="A45" s="429"/>
      <c r="B45" s="433"/>
      <c r="C45" s="158" t="s">
        <v>24</v>
      </c>
      <c r="D45" s="159">
        <v>453.78</v>
      </c>
      <c r="E45" s="160">
        <v>422.476</v>
      </c>
      <c r="F45" s="160">
        <v>470.26900000000001</v>
      </c>
      <c r="G45" s="161">
        <f t="shared" si="3"/>
        <v>1346.5250000000001</v>
      </c>
      <c r="H45" s="159">
        <v>4771.4269999999997</v>
      </c>
      <c r="I45" s="160">
        <v>4468.223</v>
      </c>
      <c r="J45" s="160">
        <v>4951.0739999999996</v>
      </c>
      <c r="K45" s="162">
        <f t="shared" si="0"/>
        <v>14190.723999999998</v>
      </c>
      <c r="L45" s="42"/>
      <c r="M45" s="42"/>
      <c r="N45" s="42"/>
      <c r="O45" s="42"/>
      <c r="P45" s="42"/>
      <c r="Q45" s="42"/>
    </row>
    <row r="46" spans="1:17" ht="15" customHeight="1">
      <c r="A46" s="429"/>
      <c r="B46" s="434" t="s">
        <v>83</v>
      </c>
      <c r="C46" s="434"/>
      <c r="D46" s="168">
        <v>166.10800000000052</v>
      </c>
      <c r="E46" s="169">
        <v>153.67199999999929</v>
      </c>
      <c r="F46" s="169">
        <v>154.31099999999913</v>
      </c>
      <c r="G46" s="170">
        <f t="shared" si="3"/>
        <v>474.09099999999893</v>
      </c>
      <c r="H46" s="168">
        <v>1922.3000000000181</v>
      </c>
      <c r="I46" s="169">
        <v>1710.9239999999863</v>
      </c>
      <c r="J46" s="169">
        <v>1844.8529999999796</v>
      </c>
      <c r="K46" s="171">
        <f t="shared" si="0"/>
        <v>5478.0769999999848</v>
      </c>
      <c r="L46" s="42"/>
      <c r="M46" s="42"/>
      <c r="N46" s="42"/>
      <c r="O46" s="42"/>
      <c r="P46" s="42"/>
      <c r="Q46" s="42"/>
    </row>
    <row r="47" spans="1:17" ht="15" customHeight="1">
      <c r="A47" s="429"/>
      <c r="B47" s="434" t="s">
        <v>82</v>
      </c>
      <c r="C47" s="434"/>
      <c r="D47" s="168">
        <v>33925.569000000003</v>
      </c>
      <c r="E47" s="169">
        <v>10884.573000000002</v>
      </c>
      <c r="F47" s="169">
        <v>819.45100000000002</v>
      </c>
      <c r="G47" s="170">
        <f t="shared" si="3"/>
        <v>45629.593000000008</v>
      </c>
      <c r="H47" s="168">
        <v>373151.71721699997</v>
      </c>
      <c r="I47" s="169">
        <v>120383.45938900001</v>
      </c>
      <c r="J47" s="169">
        <v>9070.7683399999987</v>
      </c>
      <c r="K47" s="171">
        <f t="shared" si="0"/>
        <v>502605.944946</v>
      </c>
      <c r="L47" s="42"/>
      <c r="M47" s="42"/>
      <c r="N47" s="42"/>
      <c r="O47" s="42"/>
      <c r="P47" s="42"/>
      <c r="Q47" s="42"/>
    </row>
    <row r="48" spans="1:17" ht="15" customHeight="1">
      <c r="A48" s="429"/>
      <c r="B48" s="432" t="s">
        <v>29</v>
      </c>
      <c r="C48" s="153" t="s">
        <v>65</v>
      </c>
      <c r="D48" s="154">
        <v>294897.58576427301</v>
      </c>
      <c r="E48" s="155">
        <v>268651.98115524295</v>
      </c>
      <c r="F48" s="155">
        <v>318334.01831540396</v>
      </c>
      <c r="G48" s="156">
        <f t="shared" si="3"/>
        <v>881883.58523491991</v>
      </c>
      <c r="H48" s="154">
        <v>3239901.8069790043</v>
      </c>
      <c r="I48" s="155">
        <v>2960671.4458449972</v>
      </c>
      <c r="J48" s="155">
        <v>3519685.1890700087</v>
      </c>
      <c r="K48" s="157">
        <f t="shared" si="0"/>
        <v>9720258.4418940097</v>
      </c>
      <c r="L48" s="42"/>
      <c r="M48" s="42"/>
      <c r="N48" s="42"/>
      <c r="O48" s="42"/>
      <c r="P48" s="42"/>
      <c r="Q48" s="42"/>
    </row>
    <row r="49" spans="1:17" ht="15" customHeight="1">
      <c r="A49" s="429"/>
      <c r="B49" s="432"/>
      <c r="C49" s="153" t="s">
        <v>91</v>
      </c>
      <c r="D49" s="154">
        <v>-2.5050758349994169</v>
      </c>
      <c r="E49" s="155">
        <v>-234.82586685500081</v>
      </c>
      <c r="F49" s="155">
        <v>1931.3241215499993</v>
      </c>
      <c r="G49" s="156">
        <f t="shared" si="3"/>
        <v>1693.993178859999</v>
      </c>
      <c r="H49" s="154">
        <v>56.392475000019886</v>
      </c>
      <c r="I49" s="155">
        <v>-2556.9360920000117</v>
      </c>
      <c r="J49" s="155">
        <v>21503.873612999982</v>
      </c>
      <c r="K49" s="157">
        <f t="shared" si="0"/>
        <v>19003.329995999989</v>
      </c>
      <c r="L49" s="42"/>
      <c r="M49" s="42"/>
      <c r="N49" s="42"/>
      <c r="O49" s="42"/>
      <c r="P49" s="42"/>
      <c r="Q49" s="42"/>
    </row>
    <row r="50" spans="1:17" ht="15" customHeight="1">
      <c r="A50" s="430"/>
      <c r="B50" s="433"/>
      <c r="C50" s="158" t="s">
        <v>24</v>
      </c>
      <c r="D50" s="159">
        <v>294895.08068843803</v>
      </c>
      <c r="E50" s="160">
        <v>268417.15528838796</v>
      </c>
      <c r="F50" s="160">
        <v>320265.34243695397</v>
      </c>
      <c r="G50" s="161">
        <f>SUM(D50:F50)</f>
        <v>883577.57841377985</v>
      </c>
      <c r="H50" s="159">
        <v>3239958.1994540044</v>
      </c>
      <c r="I50" s="160">
        <v>2958114.5097529972</v>
      </c>
      <c r="J50" s="160">
        <v>3541189.0626830086</v>
      </c>
      <c r="K50" s="162">
        <f t="shared" si="0"/>
        <v>9739261.7718900107</v>
      </c>
      <c r="L50" s="42"/>
      <c r="M50" s="42"/>
      <c r="N50" s="42"/>
      <c r="O50" s="42"/>
      <c r="P50" s="42"/>
      <c r="Q50" s="42"/>
    </row>
    <row r="51" spans="1:17" ht="0.95" customHeight="1">
      <c r="A51" s="150"/>
      <c r="B51" s="151"/>
      <c r="C51" s="172"/>
      <c r="D51" s="154"/>
      <c r="E51" s="155"/>
      <c r="F51" s="155"/>
      <c r="G51" s="156"/>
      <c r="H51" s="154"/>
      <c r="I51" s="155"/>
      <c r="J51" s="155"/>
      <c r="K51" s="157"/>
      <c r="L51" s="42"/>
      <c r="M51" s="42"/>
      <c r="N51" s="42"/>
      <c r="O51" s="42"/>
      <c r="P51" s="42"/>
      <c r="Q51" s="42"/>
    </row>
    <row r="52" spans="1:17" ht="0.95" customHeight="1">
      <c r="A52" s="150"/>
      <c r="B52" s="151"/>
      <c r="C52" s="172"/>
      <c r="D52" s="154"/>
      <c r="E52" s="155"/>
      <c r="F52" s="155"/>
      <c r="G52" s="156"/>
      <c r="H52" s="154"/>
      <c r="I52" s="155"/>
      <c r="J52" s="155"/>
      <c r="K52" s="157"/>
      <c r="L52" s="42"/>
      <c r="M52" s="42"/>
      <c r="N52" s="42"/>
      <c r="O52" s="42"/>
      <c r="P52" s="42"/>
      <c r="Q52" s="42"/>
    </row>
    <row r="53" spans="1:17" ht="0.95" customHeight="1">
      <c r="A53" s="150"/>
      <c r="B53" s="151"/>
      <c r="C53" s="172"/>
      <c r="D53" s="154"/>
      <c r="E53" s="155"/>
      <c r="F53" s="155"/>
      <c r="G53" s="156"/>
      <c r="H53" s="154"/>
      <c r="I53" s="155"/>
      <c r="J53" s="155"/>
      <c r="K53" s="157"/>
      <c r="L53" s="42"/>
      <c r="M53" s="42"/>
      <c r="N53" s="42"/>
      <c r="O53" s="42"/>
      <c r="P53" s="42"/>
      <c r="Q53" s="42"/>
    </row>
    <row r="54" spans="1:17" ht="14.1" customHeight="1">
      <c r="A54" s="427" t="s">
        <v>94</v>
      </c>
      <c r="B54" s="427"/>
      <c r="C54" s="427"/>
      <c r="D54" s="159">
        <v>-9571.7719687130302</v>
      </c>
      <c r="E54" s="160">
        <v>-5280.4587113508605</v>
      </c>
      <c r="F54" s="160">
        <v>14589.471829371061</v>
      </c>
      <c r="G54" s="161">
        <f t="shared" si="3"/>
        <v>-262.75885069282958</v>
      </c>
      <c r="H54" s="159">
        <v>-94219.305367953144</v>
      </c>
      <c r="I54" s="160">
        <v>-61163.304127710871</v>
      </c>
      <c r="J54" s="160">
        <v>163437.74176209839</v>
      </c>
      <c r="K54" s="162">
        <f>SUM(H54:J54)</f>
        <v>8055.1322664343752</v>
      </c>
      <c r="L54" s="42"/>
      <c r="M54" s="42"/>
      <c r="N54" s="42"/>
      <c r="O54" s="42"/>
      <c r="P54" s="42"/>
      <c r="Q54" s="42"/>
    </row>
    <row r="55" spans="1:17" ht="5.0999999999999996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M55" s="42"/>
    </row>
    <row r="56" spans="1:17">
      <c r="A56" s="435" t="s">
        <v>300</v>
      </c>
      <c r="B56" s="435"/>
      <c r="C56" s="435"/>
      <c r="D56" s="435"/>
      <c r="E56" s="435"/>
      <c r="F56" s="435"/>
      <c r="G56" s="435"/>
      <c r="H56" s="435"/>
      <c r="I56" s="435"/>
      <c r="J56" s="435"/>
      <c r="K56" s="435"/>
    </row>
    <row r="57" spans="1:17">
      <c r="A57" s="435"/>
      <c r="B57" s="435"/>
      <c r="C57" s="435"/>
      <c r="D57" s="435"/>
      <c r="E57" s="435"/>
      <c r="F57" s="435"/>
      <c r="G57" s="435"/>
      <c r="H57" s="435"/>
      <c r="I57" s="435"/>
      <c r="J57" s="435"/>
      <c r="K57" s="435"/>
    </row>
    <row r="58" spans="1:17">
      <c r="A58" s="435"/>
      <c r="B58" s="435"/>
      <c r="C58" s="435"/>
      <c r="D58" s="435"/>
      <c r="E58" s="435"/>
      <c r="F58" s="435"/>
      <c r="G58" s="435"/>
      <c r="H58" s="435"/>
      <c r="I58" s="435"/>
      <c r="J58" s="435"/>
      <c r="K58" s="435"/>
    </row>
    <row r="59" spans="1:17">
      <c r="A59" s="435"/>
      <c r="B59" s="435"/>
      <c r="C59" s="435"/>
      <c r="D59" s="435"/>
      <c r="E59" s="435"/>
      <c r="F59" s="435"/>
      <c r="G59" s="435"/>
      <c r="H59" s="435"/>
      <c r="I59" s="435"/>
      <c r="J59" s="435"/>
      <c r="K59" s="435"/>
    </row>
  </sheetData>
  <mergeCells count="25">
    <mergeCell ref="A56:K59"/>
    <mergeCell ref="A2:K2"/>
    <mergeCell ref="D3:K3"/>
    <mergeCell ref="D4:G4"/>
    <mergeCell ref="H4:K4"/>
    <mergeCell ref="B6:B8"/>
    <mergeCell ref="B9:B11"/>
    <mergeCell ref="B12:B14"/>
    <mergeCell ref="A6:A14"/>
    <mergeCell ref="B15:B19"/>
    <mergeCell ref="B20:B24"/>
    <mergeCell ref="B25:B29"/>
    <mergeCell ref="A15:A30"/>
    <mergeCell ref="B30:C30"/>
    <mergeCell ref="B48:B50"/>
    <mergeCell ref="A40:A50"/>
    <mergeCell ref="A54:C54"/>
    <mergeCell ref="A31:A39"/>
    <mergeCell ref="B31:B33"/>
    <mergeCell ref="B34:B36"/>
    <mergeCell ref="B37:B39"/>
    <mergeCell ref="B40:B42"/>
    <mergeCell ref="B43:B45"/>
    <mergeCell ref="B46:C46"/>
    <mergeCell ref="B47:C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G30 K3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sqref="A1:S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50" t="s">
        <v>279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3" ht="6" customHeight="1">
      <c r="A2" s="174"/>
      <c r="B2" s="448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</row>
    <row r="3" spans="1:23" ht="15.95" customHeight="1">
      <c r="A3" s="204">
        <f>'3.1'!A4</f>
        <v>2025</v>
      </c>
      <c r="B3" s="456" t="s">
        <v>246</v>
      </c>
      <c r="C3" s="457"/>
      <c r="D3" s="457"/>
      <c r="E3" s="457"/>
      <c r="F3" s="457"/>
      <c r="G3" s="457"/>
      <c r="H3" s="457"/>
      <c r="I3" s="457"/>
      <c r="J3" s="458"/>
      <c r="K3" s="457" t="s">
        <v>206</v>
      </c>
      <c r="L3" s="457"/>
      <c r="M3" s="457"/>
      <c r="N3" s="457"/>
      <c r="O3" s="457"/>
      <c r="P3" s="457"/>
      <c r="Q3" s="457"/>
      <c r="R3" s="457"/>
      <c r="S3" s="457"/>
    </row>
    <row r="4" spans="1:23" ht="34.5" customHeight="1">
      <c r="A4" s="190"/>
      <c r="B4" s="445" t="s">
        <v>188</v>
      </c>
      <c r="C4" s="446"/>
      <c r="D4" s="446"/>
      <c r="E4" s="445" t="s">
        <v>189</v>
      </c>
      <c r="F4" s="446"/>
      <c r="G4" s="451"/>
      <c r="H4" s="452" t="s">
        <v>233</v>
      </c>
      <c r="I4" s="452" t="s">
        <v>185</v>
      </c>
      <c r="J4" s="454" t="s">
        <v>63</v>
      </c>
      <c r="K4" s="445" t="s">
        <v>188</v>
      </c>
      <c r="L4" s="446"/>
      <c r="M4" s="446"/>
      <c r="N4" s="445" t="s">
        <v>189</v>
      </c>
      <c r="O4" s="446"/>
      <c r="P4" s="451"/>
      <c r="Q4" s="452" t="s">
        <v>233</v>
      </c>
      <c r="R4" s="452" t="s">
        <v>185</v>
      </c>
      <c r="S4" s="452" t="s">
        <v>63</v>
      </c>
    </row>
    <row r="5" spans="1:23" ht="33.75">
      <c r="A5" s="191"/>
      <c r="B5" s="192" t="s">
        <v>20</v>
      </c>
      <c r="C5" s="193" t="s">
        <v>21</v>
      </c>
      <c r="D5" s="193" t="s">
        <v>187</v>
      </c>
      <c r="E5" s="192" t="s">
        <v>25</v>
      </c>
      <c r="F5" s="193" t="s">
        <v>26</v>
      </c>
      <c r="G5" s="194" t="s">
        <v>186</v>
      </c>
      <c r="H5" s="453"/>
      <c r="I5" s="453"/>
      <c r="J5" s="455"/>
      <c r="K5" s="193" t="s">
        <v>20</v>
      </c>
      <c r="L5" s="193" t="s">
        <v>21</v>
      </c>
      <c r="M5" s="193" t="s">
        <v>187</v>
      </c>
      <c r="N5" s="192" t="s">
        <v>25</v>
      </c>
      <c r="O5" s="193" t="s">
        <v>26</v>
      </c>
      <c r="P5" s="194" t="s">
        <v>186</v>
      </c>
      <c r="Q5" s="453"/>
      <c r="R5" s="453"/>
      <c r="S5" s="453"/>
    </row>
    <row r="6" spans="1:23" ht="12" customHeight="1">
      <c r="A6" s="175" t="s">
        <v>157</v>
      </c>
      <c r="B6" s="182">
        <v>473.40953888750795</v>
      </c>
      <c r="C6" s="176">
        <v>4.9845249681999999E-2</v>
      </c>
      <c r="D6" s="177">
        <v>473.35969363782596</v>
      </c>
      <c r="E6" s="188">
        <v>567.22816599999999</v>
      </c>
      <c r="F6" s="177">
        <v>1.5706849999999999</v>
      </c>
      <c r="G6" s="184">
        <v>565.65748099999996</v>
      </c>
      <c r="H6" s="177">
        <v>9.6925220000000003</v>
      </c>
      <c r="I6" s="177">
        <v>4.5866857685697031</v>
      </c>
      <c r="J6" s="184">
        <v>1044.1230108692562</v>
      </c>
      <c r="K6" s="176">
        <v>5160.1947045670004</v>
      </c>
      <c r="L6" s="176">
        <v>0.54170594849999998</v>
      </c>
      <c r="M6" s="177">
        <v>5159.6529986185005</v>
      </c>
      <c r="N6" s="188">
        <v>6149.1082729999998</v>
      </c>
      <c r="O6" s="177">
        <v>16.988989191000002</v>
      </c>
      <c r="P6" s="184">
        <v>6132.1192838090001</v>
      </c>
      <c r="Q6" s="177">
        <v>104.87397300681198</v>
      </c>
      <c r="R6" s="177">
        <v>42.88702342926338</v>
      </c>
      <c r="S6" s="177">
        <v>11353.75923200505</v>
      </c>
      <c r="T6" s="56"/>
      <c r="U6" s="65"/>
      <c r="V6" s="57"/>
      <c r="W6" s="57"/>
    </row>
    <row r="7" spans="1:23" ht="12" customHeight="1">
      <c r="A7" s="175" t="s">
        <v>158</v>
      </c>
      <c r="B7" s="182">
        <v>461.50851106068399</v>
      </c>
      <c r="C7" s="177">
        <v>62.372759322020002</v>
      </c>
      <c r="D7" s="177">
        <v>399.135751738664</v>
      </c>
      <c r="E7" s="188">
        <v>555.605772</v>
      </c>
      <c r="F7" s="177">
        <v>1.1973499999999999</v>
      </c>
      <c r="G7" s="184">
        <v>554.40842199999997</v>
      </c>
      <c r="H7" s="177">
        <v>8.8843970000000034</v>
      </c>
      <c r="I7" s="177">
        <v>0.49080389668012503</v>
      </c>
      <c r="J7" s="184">
        <v>961.93776684198394</v>
      </c>
      <c r="K7" s="176">
        <v>5035.0801466820003</v>
      </c>
      <c r="L7" s="177">
        <v>678.38693800199997</v>
      </c>
      <c r="M7" s="177">
        <v>4356.6932086800007</v>
      </c>
      <c r="N7" s="188">
        <v>6002.602331</v>
      </c>
      <c r="O7" s="177">
        <v>12.921363795</v>
      </c>
      <c r="P7" s="184">
        <v>5989.6809672050003</v>
      </c>
      <c r="Q7" s="177">
        <v>96.011818959866005</v>
      </c>
      <c r="R7" s="177">
        <v>2.7613808510527016</v>
      </c>
      <c r="S7" s="177">
        <v>10439.624613993814</v>
      </c>
      <c r="T7" s="58"/>
      <c r="U7" s="65"/>
      <c r="V7" s="57"/>
      <c r="W7" s="57"/>
    </row>
    <row r="8" spans="1:23" ht="12" customHeight="1">
      <c r="A8" s="178" t="s">
        <v>159</v>
      </c>
      <c r="B8" s="183">
        <v>552.47851596758403</v>
      </c>
      <c r="C8" s="180">
        <v>0.10006611204199999</v>
      </c>
      <c r="D8" s="180">
        <v>552.37844985554204</v>
      </c>
      <c r="E8" s="189">
        <v>188.32898499999999</v>
      </c>
      <c r="F8" s="180">
        <v>1.9775699999999998</v>
      </c>
      <c r="G8" s="185">
        <v>186.351415</v>
      </c>
      <c r="H8" s="180">
        <v>10.018378</v>
      </c>
      <c r="I8" s="180">
        <v>-2.2471659801258936</v>
      </c>
      <c r="J8" s="185">
        <v>750.99540883566783</v>
      </c>
      <c r="K8" s="179">
        <v>6047.1049407760001</v>
      </c>
      <c r="L8" s="180">
        <v>1.0863263379000001</v>
      </c>
      <c r="M8" s="180">
        <v>6046.0186144381005</v>
      </c>
      <c r="N8" s="189">
        <v>2032.3447590000001</v>
      </c>
      <c r="O8" s="180">
        <v>21.707574139000002</v>
      </c>
      <c r="P8" s="185">
        <v>2010.6371848610002</v>
      </c>
      <c r="Q8" s="180">
        <v>108.53541092456102</v>
      </c>
      <c r="R8" s="180">
        <v>-26.412949948407711</v>
      </c>
      <c r="S8" s="180">
        <v>8191.6041601720681</v>
      </c>
      <c r="T8" s="59"/>
      <c r="U8" s="65"/>
      <c r="V8" s="57"/>
      <c r="W8" s="57"/>
    </row>
    <row r="9" spans="1:23" ht="12" customHeight="1">
      <c r="A9" s="175" t="s">
        <v>160</v>
      </c>
      <c r="B9" s="182">
        <v>767.13788919740603</v>
      </c>
      <c r="C9" s="177">
        <v>6.8492235789510003</v>
      </c>
      <c r="D9" s="177">
        <v>760.28866561845507</v>
      </c>
      <c r="E9" s="188">
        <v>10.225211999999999</v>
      </c>
      <c r="F9" s="177">
        <v>282.18140500000004</v>
      </c>
      <c r="G9" s="184">
        <v>-271.95619300000004</v>
      </c>
      <c r="H9" s="177">
        <v>9.6941330000000008</v>
      </c>
      <c r="I9" s="177">
        <v>-4.8715485139379746</v>
      </c>
      <c r="J9" s="184">
        <v>502.89815413239307</v>
      </c>
      <c r="K9" s="176">
        <v>8408.567508432001</v>
      </c>
      <c r="L9" s="177">
        <v>74.794186862899991</v>
      </c>
      <c r="M9" s="177">
        <v>8333.7733215691005</v>
      </c>
      <c r="N9" s="188">
        <v>110.73178900000001</v>
      </c>
      <c r="O9" s="177">
        <v>3093.2381983699997</v>
      </c>
      <c r="P9" s="184">
        <v>-2982.5064093699998</v>
      </c>
      <c r="Q9" s="177">
        <v>105.37372499619198</v>
      </c>
      <c r="R9" s="177">
        <v>-52.67711241670046</v>
      </c>
      <c r="S9" s="177">
        <v>5509.3177496119933</v>
      </c>
      <c r="T9" s="58"/>
      <c r="U9" s="65"/>
      <c r="V9" s="57"/>
      <c r="W9" s="57"/>
    </row>
    <row r="10" spans="1:23" ht="12" customHeight="1">
      <c r="A10" s="175" t="s">
        <v>161</v>
      </c>
      <c r="B10" s="182">
        <v>766.36311755969393</v>
      </c>
      <c r="C10" s="177">
        <v>7.0807769197289998</v>
      </c>
      <c r="D10" s="177">
        <v>759.2823406399649</v>
      </c>
      <c r="E10" s="188">
        <v>12.769877000000001</v>
      </c>
      <c r="F10" s="177">
        <v>369.22932899999995</v>
      </c>
      <c r="G10" s="184">
        <v>-356.45945199999994</v>
      </c>
      <c r="H10" s="177">
        <v>9.7847979999999986</v>
      </c>
      <c r="I10" s="177">
        <v>-2.036153674209956</v>
      </c>
      <c r="J10" s="184">
        <v>414.64384031417501</v>
      </c>
      <c r="K10" s="176">
        <v>8409.8792688930007</v>
      </c>
      <c r="L10" s="177">
        <v>77.780702642000008</v>
      </c>
      <c r="M10" s="177">
        <v>8332.0985662510011</v>
      </c>
      <c r="N10" s="188">
        <v>138.924206</v>
      </c>
      <c r="O10" s="177">
        <v>4053.0901464899998</v>
      </c>
      <c r="P10" s="184">
        <v>-3914.1659404899997</v>
      </c>
      <c r="Q10" s="177">
        <v>106.432505060962</v>
      </c>
      <c r="R10" s="177">
        <v>-26.367333284029737</v>
      </c>
      <c r="S10" s="177">
        <v>4550.7324641059922</v>
      </c>
      <c r="T10" s="58"/>
      <c r="U10" s="65"/>
      <c r="V10" s="57"/>
      <c r="W10" s="57"/>
    </row>
    <row r="11" spans="1:23" ht="12" customHeight="1">
      <c r="A11" s="178" t="s">
        <v>162</v>
      </c>
      <c r="B11" s="183">
        <v>906.75012386322101</v>
      </c>
      <c r="C11" s="180">
        <v>29.763241463229999</v>
      </c>
      <c r="D11" s="180">
        <v>876.98688239999103</v>
      </c>
      <c r="E11" s="189">
        <v>0</v>
      </c>
      <c r="F11" s="180">
        <v>592.22722899999997</v>
      </c>
      <c r="G11" s="185">
        <v>-592.22722899999997</v>
      </c>
      <c r="H11" s="180">
        <v>10.004078000000003</v>
      </c>
      <c r="I11" s="180">
        <v>-4.6455599839768835</v>
      </c>
      <c r="J11" s="185">
        <v>299.40929138396797</v>
      </c>
      <c r="K11" s="179">
        <v>9907.5951579209996</v>
      </c>
      <c r="L11" s="180">
        <v>325.7922968414</v>
      </c>
      <c r="M11" s="180">
        <v>9581.8028610795991</v>
      </c>
      <c r="N11" s="189">
        <v>0</v>
      </c>
      <c r="O11" s="180">
        <v>6485.0430013330006</v>
      </c>
      <c r="P11" s="185">
        <v>-6485.0430013330006</v>
      </c>
      <c r="Q11" s="180">
        <v>108.60697381864101</v>
      </c>
      <c r="R11" s="180">
        <v>-73.744329908760264</v>
      </c>
      <c r="S11" s="180">
        <v>3279.1111634740009</v>
      </c>
      <c r="T11" s="58"/>
      <c r="U11" s="65"/>
      <c r="V11" s="57"/>
      <c r="W11" s="57"/>
    </row>
    <row r="12" spans="1:23" ht="12" customHeight="1">
      <c r="A12" s="175" t="s">
        <v>163</v>
      </c>
      <c r="B12" s="182">
        <v>1182.7619264140319</v>
      </c>
      <c r="C12" s="177">
        <v>378.84481369430699</v>
      </c>
      <c r="D12" s="177">
        <v>803.91711271972486</v>
      </c>
      <c r="E12" s="188">
        <v>0</v>
      </c>
      <c r="F12" s="177">
        <v>529.27211299999999</v>
      </c>
      <c r="G12" s="184">
        <v>-529.27211299999999</v>
      </c>
      <c r="H12" s="177">
        <v>10.678309</v>
      </c>
      <c r="I12" s="177">
        <v>-9.5717719687130298</v>
      </c>
      <c r="J12" s="184">
        <v>294.89508068843804</v>
      </c>
      <c r="K12" s="176">
        <v>13018.631750879998</v>
      </c>
      <c r="L12" s="177">
        <v>4163.0944957183001</v>
      </c>
      <c r="M12" s="177">
        <v>8855.5372551616983</v>
      </c>
      <c r="N12" s="188">
        <v>0</v>
      </c>
      <c r="O12" s="177">
        <v>5825.4399983790008</v>
      </c>
      <c r="P12" s="184">
        <v>-5825.4399983790008</v>
      </c>
      <c r="Q12" s="177">
        <v>115.64163730335302</v>
      </c>
      <c r="R12" s="177">
        <v>-94.21930536795314</v>
      </c>
      <c r="S12" s="177">
        <v>3239.9581994540044</v>
      </c>
      <c r="T12" s="58"/>
      <c r="U12" s="65"/>
      <c r="V12" s="57"/>
      <c r="W12" s="57"/>
    </row>
    <row r="13" spans="1:23" ht="12" customHeight="1">
      <c r="A13" s="175" t="s">
        <v>164</v>
      </c>
      <c r="B13" s="182">
        <v>780.41650133646408</v>
      </c>
      <c r="C13" s="177">
        <v>15.458912759427003</v>
      </c>
      <c r="D13" s="177">
        <v>764.95758857703709</v>
      </c>
      <c r="E13" s="188">
        <v>0</v>
      </c>
      <c r="F13" s="177">
        <v>512.76480400000003</v>
      </c>
      <c r="G13" s="184">
        <v>-512.76480400000003</v>
      </c>
      <c r="H13" s="177">
        <v>10.943911999999997</v>
      </c>
      <c r="I13" s="177">
        <v>-5.2804587113508603</v>
      </c>
      <c r="J13" s="184">
        <v>268.41715528838796</v>
      </c>
      <c r="K13" s="176">
        <v>8601.0031600849998</v>
      </c>
      <c r="L13" s="177">
        <v>170.3836408542</v>
      </c>
      <c r="M13" s="177">
        <v>8430.6195192308005</v>
      </c>
      <c r="N13" s="188">
        <v>0</v>
      </c>
      <c r="O13" s="177">
        <v>5652.3596719300003</v>
      </c>
      <c r="P13" s="184">
        <v>-5652.3596719300003</v>
      </c>
      <c r="Q13" s="177">
        <v>118.691358324487</v>
      </c>
      <c r="R13" s="177">
        <v>-61.163304127710873</v>
      </c>
      <c r="S13" s="177">
        <v>2958.114509752997</v>
      </c>
      <c r="T13" s="58"/>
      <c r="U13" s="65"/>
      <c r="V13" s="57"/>
      <c r="W13" s="57"/>
    </row>
    <row r="14" spans="1:23" ht="12" customHeight="1">
      <c r="A14" s="178" t="s">
        <v>165</v>
      </c>
      <c r="B14" s="183">
        <v>605.91043035048801</v>
      </c>
      <c r="C14" s="180">
        <v>26.272808084163003</v>
      </c>
      <c r="D14" s="180">
        <v>579.63762226632502</v>
      </c>
      <c r="E14" s="189">
        <v>7.0777000000000007E-2</v>
      </c>
      <c r="F14" s="180">
        <v>254.451616</v>
      </c>
      <c r="G14" s="185">
        <v>-254.38083900000001</v>
      </c>
      <c r="H14" s="180">
        <v>9.5980310000000006</v>
      </c>
      <c r="I14" s="180">
        <v>14.58947182937106</v>
      </c>
      <c r="J14" s="185">
        <v>320.26534243695397</v>
      </c>
      <c r="K14" s="179">
        <v>6703.8957830310001</v>
      </c>
      <c r="L14" s="180">
        <v>290.07819468410003</v>
      </c>
      <c r="M14" s="180">
        <v>6413.8175883469003</v>
      </c>
      <c r="N14" s="189">
        <v>0.78239400000000003</v>
      </c>
      <c r="O14" s="180">
        <v>2813.8965362489998</v>
      </c>
      <c r="P14" s="185">
        <v>-2813.114142249</v>
      </c>
      <c r="Q14" s="180">
        <v>103.92335834720699</v>
      </c>
      <c r="R14" s="180">
        <v>163.4377417620984</v>
      </c>
      <c r="S14" s="180">
        <v>3541.1890626830086</v>
      </c>
      <c r="T14" s="58"/>
      <c r="U14" s="65"/>
      <c r="V14" s="57"/>
      <c r="W14" s="57"/>
    </row>
    <row r="15" spans="1:23" ht="12" customHeight="1">
      <c r="A15" s="175" t="s">
        <v>166</v>
      </c>
      <c r="B15" s="182"/>
      <c r="C15" s="177"/>
      <c r="D15" s="177"/>
      <c r="E15" s="188"/>
      <c r="F15" s="177"/>
      <c r="G15" s="184"/>
      <c r="H15" s="177"/>
      <c r="I15" s="177"/>
      <c r="J15" s="184"/>
      <c r="K15" s="176"/>
      <c r="L15" s="177"/>
      <c r="M15" s="177"/>
      <c r="N15" s="188"/>
      <c r="O15" s="177"/>
      <c r="P15" s="184"/>
      <c r="Q15" s="177"/>
      <c r="R15" s="177"/>
      <c r="S15" s="177"/>
      <c r="T15" s="58"/>
      <c r="U15" s="57"/>
      <c r="V15" s="57"/>
      <c r="W15" s="57"/>
    </row>
    <row r="16" spans="1:23" ht="12" customHeight="1">
      <c r="A16" s="175" t="s">
        <v>167</v>
      </c>
      <c r="B16" s="182"/>
      <c r="C16" s="177"/>
      <c r="D16" s="177"/>
      <c r="E16" s="188"/>
      <c r="F16" s="177"/>
      <c r="G16" s="184"/>
      <c r="H16" s="177"/>
      <c r="I16" s="177"/>
      <c r="J16" s="184"/>
      <c r="K16" s="176"/>
      <c r="L16" s="177"/>
      <c r="M16" s="177"/>
      <c r="N16" s="188"/>
      <c r="O16" s="177"/>
      <c r="P16" s="184"/>
      <c r="Q16" s="177"/>
      <c r="R16" s="177"/>
      <c r="S16" s="177"/>
      <c r="T16" s="58"/>
      <c r="U16" s="57"/>
      <c r="V16" s="57"/>
      <c r="W16" s="57"/>
    </row>
    <row r="17" spans="1:23" ht="12" customHeight="1">
      <c r="A17" s="178" t="s">
        <v>168</v>
      </c>
      <c r="B17" s="183"/>
      <c r="C17" s="180"/>
      <c r="D17" s="180"/>
      <c r="E17" s="189"/>
      <c r="F17" s="180"/>
      <c r="G17" s="185"/>
      <c r="H17" s="180"/>
      <c r="I17" s="180"/>
      <c r="J17" s="185"/>
      <c r="K17" s="179"/>
      <c r="L17" s="180"/>
      <c r="M17" s="180"/>
      <c r="N17" s="189"/>
      <c r="O17" s="180"/>
      <c r="P17" s="185"/>
      <c r="Q17" s="180"/>
      <c r="R17" s="180"/>
      <c r="S17" s="180"/>
      <c r="T17" s="58"/>
      <c r="U17" s="57"/>
      <c r="V17" s="57"/>
      <c r="W17" s="57"/>
    </row>
    <row r="18" spans="1:23" ht="12" customHeight="1">
      <c r="A18" s="175" t="s">
        <v>47</v>
      </c>
      <c r="B18" s="182">
        <f>SUM(B6:B8)</f>
        <v>1487.3965659157761</v>
      </c>
      <c r="C18" s="176">
        <f>SUM(C6:C8)</f>
        <v>62.522670683744003</v>
      </c>
      <c r="D18" s="176">
        <f>SUM(D6:D8)</f>
        <v>1424.8738952320318</v>
      </c>
      <c r="E18" s="182">
        <f t="shared" ref="E18:J18" si="0">SUM(E6:E8)</f>
        <v>1311.1629229999999</v>
      </c>
      <c r="F18" s="176">
        <f t="shared" si="0"/>
        <v>4.7456049999999994</v>
      </c>
      <c r="G18" s="186">
        <f>SUM(G6:G8)</f>
        <v>1306.417318</v>
      </c>
      <c r="H18" s="176">
        <f t="shared" si="0"/>
        <v>28.595297000000002</v>
      </c>
      <c r="I18" s="176">
        <f t="shared" si="0"/>
        <v>2.8303236851239348</v>
      </c>
      <c r="J18" s="186">
        <f t="shared" si="0"/>
        <v>2757.0561865469081</v>
      </c>
      <c r="K18" s="176">
        <f>SUM(K6:K8)</f>
        <v>16242.379792025</v>
      </c>
      <c r="L18" s="176">
        <f>SUM(L6:L8)</f>
        <v>680.01497028839992</v>
      </c>
      <c r="M18" s="176">
        <f t="shared" ref="M18:S18" si="1">SUM(M6:M8)</f>
        <v>15562.364821736603</v>
      </c>
      <c r="N18" s="182">
        <f t="shared" si="1"/>
        <v>14184.055362999999</v>
      </c>
      <c r="O18" s="176">
        <f t="shared" si="1"/>
        <v>51.617927125000001</v>
      </c>
      <c r="P18" s="186">
        <f t="shared" si="1"/>
        <v>14132.437435874999</v>
      </c>
      <c r="Q18" s="176">
        <f t="shared" si="1"/>
        <v>309.42120289123898</v>
      </c>
      <c r="R18" s="176">
        <f>SUM(R6:R8)</f>
        <v>19.235454331908368</v>
      </c>
      <c r="S18" s="176">
        <f t="shared" si="1"/>
        <v>29984.98800617093</v>
      </c>
    </row>
    <row r="19" spans="1:23" ht="12" customHeight="1">
      <c r="A19" s="175" t="s">
        <v>55</v>
      </c>
      <c r="B19" s="182">
        <f>SUM(B9:B11)</f>
        <v>2440.251130620321</v>
      </c>
      <c r="C19" s="176">
        <f>SUM(C9:C11)</f>
        <v>43.693241961909997</v>
      </c>
      <c r="D19" s="176">
        <f t="shared" ref="D19:J19" si="2">SUM(D9:D11)</f>
        <v>2396.5578886584108</v>
      </c>
      <c r="E19" s="182">
        <f t="shared" si="2"/>
        <v>22.995089</v>
      </c>
      <c r="F19" s="176">
        <f t="shared" si="2"/>
        <v>1243.6379630000001</v>
      </c>
      <c r="G19" s="186">
        <f t="shared" si="2"/>
        <v>-1220.6428740000001</v>
      </c>
      <c r="H19" s="176">
        <f t="shared" si="2"/>
        <v>29.483009000000003</v>
      </c>
      <c r="I19" s="176">
        <f t="shared" si="2"/>
        <v>-11.553262172124814</v>
      </c>
      <c r="J19" s="186">
        <f t="shared" si="2"/>
        <v>1216.9512858305361</v>
      </c>
      <c r="K19" s="176">
        <f>SUM(K9:K11)</f>
        <v>26726.041935246001</v>
      </c>
      <c r="L19" s="176">
        <f t="shared" ref="L19:S19" si="3">SUM(L9:L11)</f>
        <v>478.3671863463</v>
      </c>
      <c r="M19" s="176">
        <f t="shared" si="3"/>
        <v>26247.674748899703</v>
      </c>
      <c r="N19" s="182">
        <f t="shared" si="3"/>
        <v>249.65599500000002</v>
      </c>
      <c r="O19" s="176">
        <f>SUM(O9:O11)</f>
        <v>13631.371346193</v>
      </c>
      <c r="P19" s="186">
        <f t="shared" si="3"/>
        <v>-13381.715351193001</v>
      </c>
      <c r="Q19" s="176">
        <f t="shared" si="3"/>
        <v>320.41320387579498</v>
      </c>
      <c r="R19" s="176">
        <f t="shared" si="3"/>
        <v>-152.78877560949047</v>
      </c>
      <c r="S19" s="176">
        <f t="shared" si="3"/>
        <v>13339.161377191987</v>
      </c>
    </row>
    <row r="20" spans="1:23" ht="12" customHeight="1">
      <c r="A20" s="175" t="s">
        <v>62</v>
      </c>
      <c r="B20" s="182">
        <f>SUM(B12:B14)</f>
        <v>2569.088858100984</v>
      </c>
      <c r="C20" s="176">
        <f>SUM(C12:C14)</f>
        <v>420.57653453789698</v>
      </c>
      <c r="D20" s="176">
        <f t="shared" ref="D20:J20" si="4">SUM(D12:D14)</f>
        <v>2148.5123235630872</v>
      </c>
      <c r="E20" s="182">
        <f t="shared" si="4"/>
        <v>7.0777000000000007E-2</v>
      </c>
      <c r="F20" s="176">
        <f t="shared" si="4"/>
        <v>1296.488533</v>
      </c>
      <c r="G20" s="186">
        <f t="shared" si="4"/>
        <v>-1296.4177559999998</v>
      </c>
      <c r="H20" s="176">
        <f t="shared" si="4"/>
        <v>31.220251999999995</v>
      </c>
      <c r="I20" s="176">
        <f>SUM(I12:I14)</f>
        <v>-0.26275885069282978</v>
      </c>
      <c r="J20" s="186">
        <f t="shared" si="4"/>
        <v>883.57757841377997</v>
      </c>
      <c r="K20" s="176">
        <f>SUM(K12:K14)</f>
        <v>28323.530693995996</v>
      </c>
      <c r="L20" s="176">
        <f t="shared" ref="L20:S20" si="5">SUM(L12:L14)</f>
        <v>4623.5563312566001</v>
      </c>
      <c r="M20" s="176">
        <f t="shared" si="5"/>
        <v>23699.974362739398</v>
      </c>
      <c r="N20" s="182">
        <f t="shared" si="5"/>
        <v>0.78239400000000003</v>
      </c>
      <c r="O20" s="176">
        <f t="shared" si="5"/>
        <v>14291.696206558001</v>
      </c>
      <c r="P20" s="186">
        <f t="shared" si="5"/>
        <v>-14290.913812558001</v>
      </c>
      <c r="Q20" s="176">
        <f t="shared" si="5"/>
        <v>338.25635397504703</v>
      </c>
      <c r="R20" s="176">
        <f t="shared" si="5"/>
        <v>8.0551322664343843</v>
      </c>
      <c r="S20" s="176">
        <f t="shared" si="5"/>
        <v>9739.2617718900092</v>
      </c>
    </row>
    <row r="21" spans="1:23" ht="12" customHeight="1">
      <c r="A21" s="178" t="s">
        <v>56</v>
      </c>
      <c r="B21" s="383">
        <f>SUM(B15:B17)</f>
        <v>0</v>
      </c>
      <c r="C21" s="384">
        <f>SUM(C15:C17)</f>
        <v>0</v>
      </c>
      <c r="D21" s="384">
        <f t="shared" ref="D21:J21" si="6">SUM(D15:D17)</f>
        <v>0</v>
      </c>
      <c r="E21" s="383">
        <f t="shared" si="6"/>
        <v>0</v>
      </c>
      <c r="F21" s="384">
        <f t="shared" si="6"/>
        <v>0</v>
      </c>
      <c r="G21" s="385">
        <f t="shared" si="6"/>
        <v>0</v>
      </c>
      <c r="H21" s="384">
        <f t="shared" si="6"/>
        <v>0</v>
      </c>
      <c r="I21" s="384">
        <f t="shared" si="6"/>
        <v>0</v>
      </c>
      <c r="J21" s="385">
        <f t="shared" si="6"/>
        <v>0</v>
      </c>
      <c r="K21" s="384">
        <f>SUM(K15:K17)</f>
        <v>0</v>
      </c>
      <c r="L21" s="384">
        <f t="shared" ref="L21:R21" si="7">SUM(L15:L17)</f>
        <v>0</v>
      </c>
      <c r="M21" s="384">
        <f t="shared" si="7"/>
        <v>0</v>
      </c>
      <c r="N21" s="383">
        <f t="shared" si="7"/>
        <v>0</v>
      </c>
      <c r="O21" s="384">
        <f t="shared" si="7"/>
        <v>0</v>
      </c>
      <c r="P21" s="385">
        <f t="shared" si="7"/>
        <v>0</v>
      </c>
      <c r="Q21" s="384">
        <f t="shared" si="7"/>
        <v>0</v>
      </c>
      <c r="R21" s="384">
        <f t="shared" si="7"/>
        <v>0</v>
      </c>
      <c r="S21" s="384">
        <f>SUM(S15:S17)</f>
        <v>0</v>
      </c>
    </row>
    <row r="22" spans="1:23" ht="12" customHeight="1">
      <c r="A22" s="175" t="s">
        <v>57</v>
      </c>
      <c r="B22" s="182">
        <f>SUM(B6:B11)</f>
        <v>3927.6476965360971</v>
      </c>
      <c r="C22" s="176">
        <f>SUM(C6:C11)</f>
        <v>106.21591264565402</v>
      </c>
      <c r="D22" s="176">
        <f t="shared" ref="D22:J22" si="8">SUM(D6:D11)</f>
        <v>3821.4317838904426</v>
      </c>
      <c r="E22" s="182">
        <f t="shared" si="8"/>
        <v>1334.1580119999999</v>
      </c>
      <c r="F22" s="176">
        <f t="shared" si="8"/>
        <v>1248.383568</v>
      </c>
      <c r="G22" s="186">
        <f t="shared" si="8"/>
        <v>85.77444400000013</v>
      </c>
      <c r="H22" s="176">
        <f t="shared" si="8"/>
        <v>58.078306000000012</v>
      </c>
      <c r="I22" s="176">
        <f t="shared" si="8"/>
        <v>-8.7229384870008779</v>
      </c>
      <c r="J22" s="186">
        <f t="shared" si="8"/>
        <v>3974.0074723774442</v>
      </c>
      <c r="K22" s="176">
        <f>SUM(K6:K11)</f>
        <v>42968.421727271001</v>
      </c>
      <c r="L22" s="176">
        <f t="shared" ref="L22:S22" si="9">SUM(L6:L11)</f>
        <v>1158.3821566347001</v>
      </c>
      <c r="M22" s="176">
        <f t="shared" si="9"/>
        <v>41810.039570636305</v>
      </c>
      <c r="N22" s="182">
        <f t="shared" si="9"/>
        <v>14433.711357999999</v>
      </c>
      <c r="O22" s="176">
        <f t="shared" si="9"/>
        <v>13682.989273318</v>
      </c>
      <c r="P22" s="186">
        <f t="shared" si="9"/>
        <v>750.72208468199824</v>
      </c>
      <c r="Q22" s="176">
        <f t="shared" si="9"/>
        <v>629.83440676703401</v>
      </c>
      <c r="R22" s="176">
        <f t="shared" si="9"/>
        <v>-133.55332127758209</v>
      </c>
      <c r="S22" s="176">
        <f t="shared" si="9"/>
        <v>43324.149383362914</v>
      </c>
    </row>
    <row r="23" spans="1:23" ht="12" customHeight="1">
      <c r="A23" s="178" t="s">
        <v>58</v>
      </c>
      <c r="B23" s="383">
        <f>SUM(B12:B17)</f>
        <v>2569.088858100984</v>
      </c>
      <c r="C23" s="384">
        <f>SUM(C12:C17)</f>
        <v>420.57653453789698</v>
      </c>
      <c r="D23" s="384">
        <f t="shared" ref="D23:J23" si="10">SUM(D12:D17)</f>
        <v>2148.5123235630872</v>
      </c>
      <c r="E23" s="383">
        <f t="shared" si="10"/>
        <v>7.0777000000000007E-2</v>
      </c>
      <c r="F23" s="384">
        <f t="shared" si="10"/>
        <v>1296.488533</v>
      </c>
      <c r="G23" s="385">
        <f t="shared" si="10"/>
        <v>-1296.4177559999998</v>
      </c>
      <c r="H23" s="384">
        <f t="shared" si="10"/>
        <v>31.220251999999995</v>
      </c>
      <c r="I23" s="384">
        <f t="shared" si="10"/>
        <v>-0.26275885069282978</v>
      </c>
      <c r="J23" s="385">
        <f t="shared" si="10"/>
        <v>883.57757841377997</v>
      </c>
      <c r="K23" s="384">
        <f>SUM(K12:K17)</f>
        <v>28323.530693995996</v>
      </c>
      <c r="L23" s="384">
        <f t="shared" ref="L23:S23" si="11">SUM(L12:L17)</f>
        <v>4623.5563312566001</v>
      </c>
      <c r="M23" s="384">
        <f t="shared" si="11"/>
        <v>23699.974362739398</v>
      </c>
      <c r="N23" s="383">
        <f t="shared" si="11"/>
        <v>0.78239400000000003</v>
      </c>
      <c r="O23" s="384">
        <f t="shared" si="11"/>
        <v>14291.696206558001</v>
      </c>
      <c r="P23" s="385">
        <f t="shared" si="11"/>
        <v>-14290.913812558001</v>
      </c>
      <c r="Q23" s="384">
        <f t="shared" si="11"/>
        <v>338.25635397504703</v>
      </c>
      <c r="R23" s="384">
        <f t="shared" si="11"/>
        <v>8.0551322664343843</v>
      </c>
      <c r="S23" s="384">
        <f t="shared" si="11"/>
        <v>9739.2617718900092</v>
      </c>
    </row>
    <row r="24" spans="1:23" ht="12" customHeight="1">
      <c r="A24" s="181" t="s">
        <v>169</v>
      </c>
      <c r="B24" s="386">
        <f>SUM(B6:B17)</f>
        <v>6496.736554637082</v>
      </c>
      <c r="C24" s="387">
        <f>SUM(C6:C17)</f>
        <v>526.79244718355096</v>
      </c>
      <c r="D24" s="387">
        <f t="shared" ref="D24:J24" si="12">SUM(D6:D17)</f>
        <v>5969.9441074535298</v>
      </c>
      <c r="E24" s="386">
        <f t="shared" si="12"/>
        <v>1334.2287889999998</v>
      </c>
      <c r="F24" s="387">
        <f t="shared" si="12"/>
        <v>2544.8721009999999</v>
      </c>
      <c r="G24" s="388">
        <f t="shared" si="12"/>
        <v>-1210.6433119999999</v>
      </c>
      <c r="H24" s="387">
        <f t="shared" si="12"/>
        <v>89.298558000000014</v>
      </c>
      <c r="I24" s="387">
        <f t="shared" si="12"/>
        <v>-8.9856973376937077</v>
      </c>
      <c r="J24" s="388">
        <f t="shared" si="12"/>
        <v>4857.5850507912237</v>
      </c>
      <c r="K24" s="387">
        <f>SUM(K6:K17)</f>
        <v>71291.952421266993</v>
      </c>
      <c r="L24" s="387">
        <f t="shared" ref="L24:S24" si="13">SUM(L6:L17)</f>
        <v>5781.9384878912997</v>
      </c>
      <c r="M24" s="387">
        <f t="shared" si="13"/>
        <v>65510.013933375703</v>
      </c>
      <c r="N24" s="386">
        <f t="shared" si="13"/>
        <v>14434.493751999998</v>
      </c>
      <c r="O24" s="387">
        <f t="shared" si="13"/>
        <v>27974.685479876003</v>
      </c>
      <c r="P24" s="388">
        <f t="shared" si="13"/>
        <v>-13540.191727876003</v>
      </c>
      <c r="Q24" s="387">
        <f t="shared" si="13"/>
        <v>968.09076074208099</v>
      </c>
      <c r="R24" s="387">
        <f t="shared" si="13"/>
        <v>-125.49818901114773</v>
      </c>
      <c r="S24" s="387">
        <f t="shared" si="13"/>
        <v>53063.411155252921</v>
      </c>
    </row>
    <row r="25" spans="1:23" ht="8.1" customHeight="1"/>
    <row r="26" spans="1:23" ht="13.5" customHeight="1">
      <c r="A26" s="447" t="s">
        <v>234</v>
      </c>
      <c r="B26" s="447"/>
      <c r="C26" s="447"/>
      <c r="D26" s="447"/>
      <c r="E26" s="447"/>
      <c r="F26" s="447"/>
      <c r="G26" s="447"/>
      <c r="H26" s="447"/>
      <c r="I26" s="447"/>
      <c r="J26" s="60"/>
      <c r="K26" s="447" t="s">
        <v>235</v>
      </c>
      <c r="L26" s="447"/>
      <c r="M26" s="447"/>
      <c r="N26" s="447"/>
      <c r="O26" s="447"/>
      <c r="P26" s="447"/>
      <c r="Q26" s="447"/>
      <c r="R26" s="447"/>
      <c r="S26" s="447"/>
      <c r="V26" s="382"/>
      <c r="W26" s="382"/>
    </row>
    <row r="27" spans="1:23" ht="8.1" customHeight="1">
      <c r="D27" s="61"/>
      <c r="E27" s="62" t="s">
        <v>193</v>
      </c>
      <c r="F27" s="62" t="s">
        <v>194</v>
      </c>
      <c r="G27" s="63"/>
      <c r="H27" s="63"/>
      <c r="L27" s="63"/>
      <c r="M27" s="62"/>
      <c r="N27" s="62" t="s">
        <v>195</v>
      </c>
      <c r="O27" s="61" t="s">
        <v>196</v>
      </c>
    </row>
    <row r="28" spans="1:23" ht="8.1" customHeight="1">
      <c r="D28" s="61" t="str">
        <f>A6</f>
        <v>Leden</v>
      </c>
      <c r="E28" s="62">
        <f>B6</f>
        <v>473.40953888750795</v>
      </c>
      <c r="F28" s="62">
        <f>C6*-1</f>
        <v>-4.9845249681999999E-2</v>
      </c>
      <c r="G28" s="63"/>
      <c r="L28" s="63"/>
      <c r="M28" s="62" t="str">
        <f>A6</f>
        <v>Leden</v>
      </c>
      <c r="N28" s="62">
        <f>E6</f>
        <v>567.22816599999999</v>
      </c>
      <c r="O28" s="62">
        <f>F6*-1</f>
        <v>-1.5706849999999999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461.50851106068399</v>
      </c>
      <c r="F29" s="62">
        <f t="shared" ref="F29:F39" si="16">C7*-1</f>
        <v>-62.372759322020002</v>
      </c>
      <c r="G29" s="63"/>
      <c r="L29" s="63"/>
      <c r="M29" s="62" t="str">
        <f t="shared" ref="M29:M39" si="17">A7</f>
        <v>Únor</v>
      </c>
      <c r="N29" s="62">
        <f t="shared" ref="N29:N39" si="18">E7</f>
        <v>555.605772</v>
      </c>
      <c r="O29" s="62">
        <f t="shared" ref="O29:O39" si="19">F7*-1</f>
        <v>-1.1973499999999999</v>
      </c>
    </row>
    <row r="30" spans="1:23" ht="8.1" customHeight="1">
      <c r="D30" s="61" t="str">
        <f t="shared" si="14"/>
        <v>Březen</v>
      </c>
      <c r="E30" s="62">
        <f t="shared" si="15"/>
        <v>552.47851596758403</v>
      </c>
      <c r="F30" s="62">
        <f t="shared" si="16"/>
        <v>-0.10006611204199999</v>
      </c>
      <c r="G30" s="63"/>
      <c r="L30" s="63"/>
      <c r="M30" s="62" t="str">
        <f t="shared" si="17"/>
        <v>Březen</v>
      </c>
      <c r="N30" s="62">
        <f t="shared" si="18"/>
        <v>188.32898499999999</v>
      </c>
      <c r="O30" s="62">
        <f t="shared" si="19"/>
        <v>-1.9775699999999998</v>
      </c>
    </row>
    <row r="31" spans="1:23" ht="8.1" customHeight="1">
      <c r="D31" s="61" t="str">
        <f t="shared" si="14"/>
        <v>Duben</v>
      </c>
      <c r="E31" s="62">
        <f t="shared" si="15"/>
        <v>767.13788919740603</v>
      </c>
      <c r="F31" s="62">
        <f t="shared" si="16"/>
        <v>-6.8492235789510003</v>
      </c>
      <c r="G31" s="63"/>
      <c r="L31" s="63"/>
      <c r="M31" s="62" t="str">
        <f t="shared" si="17"/>
        <v>Duben</v>
      </c>
      <c r="N31" s="62">
        <f t="shared" si="18"/>
        <v>10.225211999999999</v>
      </c>
      <c r="O31" s="62">
        <f t="shared" si="19"/>
        <v>-282.18140500000004</v>
      </c>
    </row>
    <row r="32" spans="1:23" ht="8.1" customHeight="1">
      <c r="D32" s="61" t="str">
        <f t="shared" si="14"/>
        <v>Květen</v>
      </c>
      <c r="E32" s="62">
        <f t="shared" si="15"/>
        <v>766.36311755969393</v>
      </c>
      <c r="F32" s="62">
        <f t="shared" si="16"/>
        <v>-7.0807769197289998</v>
      </c>
      <c r="G32" s="63"/>
      <c r="L32" s="63"/>
      <c r="M32" s="62" t="str">
        <f t="shared" si="17"/>
        <v>Květen</v>
      </c>
      <c r="N32" s="62">
        <f t="shared" si="18"/>
        <v>12.769877000000001</v>
      </c>
      <c r="O32" s="62">
        <f t="shared" si="19"/>
        <v>-369.22932899999995</v>
      </c>
    </row>
    <row r="33" spans="4:15" ht="8.1" customHeight="1">
      <c r="D33" s="61" t="str">
        <f t="shared" si="14"/>
        <v>Červen</v>
      </c>
      <c r="E33" s="62">
        <f t="shared" si="15"/>
        <v>906.75012386322101</v>
      </c>
      <c r="F33" s="62">
        <f t="shared" si="16"/>
        <v>-29.763241463229999</v>
      </c>
      <c r="G33" s="63"/>
      <c r="L33" s="63"/>
      <c r="M33" s="62" t="str">
        <f t="shared" si="17"/>
        <v>Červen</v>
      </c>
      <c r="N33" s="62">
        <f t="shared" si="18"/>
        <v>0</v>
      </c>
      <c r="O33" s="62">
        <f t="shared" si="19"/>
        <v>-592.22722899999997</v>
      </c>
    </row>
    <row r="34" spans="4:15" ht="8.1" customHeight="1">
      <c r="D34" s="61" t="str">
        <f t="shared" si="14"/>
        <v>Červenec</v>
      </c>
      <c r="E34" s="62">
        <f t="shared" si="15"/>
        <v>1182.7619264140319</v>
      </c>
      <c r="F34" s="62">
        <f t="shared" si="16"/>
        <v>-378.84481369430699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-529.27211299999999</v>
      </c>
    </row>
    <row r="35" spans="4:15" ht="8.1" customHeight="1">
      <c r="D35" s="61" t="str">
        <f t="shared" si="14"/>
        <v>Srpen</v>
      </c>
      <c r="E35" s="62">
        <f t="shared" si="15"/>
        <v>780.41650133646408</v>
      </c>
      <c r="F35" s="62">
        <f t="shared" si="16"/>
        <v>-15.458912759427003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-512.76480400000003</v>
      </c>
    </row>
    <row r="36" spans="4:15" ht="8.1" customHeight="1">
      <c r="D36" s="61" t="str">
        <f t="shared" si="14"/>
        <v>Září</v>
      </c>
      <c r="E36" s="62">
        <f t="shared" si="15"/>
        <v>605.91043035048801</v>
      </c>
      <c r="F36" s="62">
        <f t="shared" si="16"/>
        <v>-26.272808084163003</v>
      </c>
      <c r="G36" s="63"/>
      <c r="L36" s="63"/>
      <c r="M36" s="62" t="str">
        <f t="shared" si="17"/>
        <v>Září</v>
      </c>
      <c r="N36" s="62">
        <f t="shared" si="18"/>
        <v>7.0777000000000007E-2</v>
      </c>
      <c r="O36" s="62">
        <f t="shared" si="19"/>
        <v>-254.451616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C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AD56"/>
  <sheetViews>
    <sheetView showGridLines="0" tabSelected="1" zoomScaleNormal="100" zoomScaleSheetLayoutView="100" workbookViewId="0">
      <selection activeCell="V12" sqref="V12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30" ht="20.25">
      <c r="A1" s="69" t="s">
        <v>274</v>
      </c>
    </row>
    <row r="2" spans="1:30" ht="18">
      <c r="A2" s="366" t="s">
        <v>280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30" ht="6" customHeight="1">
      <c r="A3" s="205"/>
      <c r="B3" s="206"/>
      <c r="C3" s="206"/>
      <c r="D3" s="206"/>
      <c r="E3" s="206"/>
      <c r="F3" s="206"/>
      <c r="G3" s="206"/>
      <c r="H3" s="206"/>
      <c r="I3" s="206"/>
      <c r="J3" s="206"/>
      <c r="K3" s="207"/>
      <c r="L3" s="206"/>
      <c r="M3" s="206"/>
      <c r="N3" s="206"/>
      <c r="O3" s="206"/>
      <c r="P3" s="206"/>
      <c r="Q3" s="206"/>
      <c r="R3" s="206"/>
    </row>
    <row r="4" spans="1:30" ht="15.95" customHeight="1">
      <c r="A4" s="204">
        <f>'3.1'!A4</f>
        <v>2025</v>
      </c>
      <c r="B4" s="456" t="s">
        <v>246</v>
      </c>
      <c r="C4" s="459"/>
      <c r="D4" s="459"/>
      <c r="E4" s="459"/>
      <c r="F4" s="459"/>
      <c r="G4" s="459"/>
      <c r="H4" s="458"/>
      <c r="I4" s="456" t="s">
        <v>206</v>
      </c>
      <c r="J4" s="459"/>
      <c r="K4" s="459"/>
      <c r="L4" s="459"/>
      <c r="M4" s="459"/>
      <c r="N4" s="456" t="s">
        <v>218</v>
      </c>
      <c r="O4" s="459"/>
      <c r="P4" s="459"/>
      <c r="Q4" s="459"/>
      <c r="R4" s="458"/>
      <c r="S4" s="227" t="s">
        <v>246</v>
      </c>
      <c r="T4" s="227" t="s">
        <v>206</v>
      </c>
    </row>
    <row r="5" spans="1:30" ht="36.75" customHeight="1">
      <c r="A5" s="216"/>
      <c r="B5" s="460" t="s">
        <v>152</v>
      </c>
      <c r="C5" s="453"/>
      <c r="D5" s="453"/>
      <c r="E5" s="453" t="s">
        <v>153</v>
      </c>
      <c r="F5" s="453"/>
      <c r="G5" s="453"/>
      <c r="H5" s="196" t="s">
        <v>150</v>
      </c>
      <c r="I5" s="460" t="s">
        <v>152</v>
      </c>
      <c r="J5" s="453"/>
      <c r="K5" s="453" t="s">
        <v>153</v>
      </c>
      <c r="L5" s="453"/>
      <c r="M5" s="195" t="s">
        <v>150</v>
      </c>
      <c r="N5" s="460" t="s">
        <v>249</v>
      </c>
      <c r="O5" s="453"/>
      <c r="P5" s="453"/>
      <c r="Q5" s="453"/>
      <c r="R5" s="455"/>
      <c r="S5" s="452" t="s">
        <v>151</v>
      </c>
      <c r="T5" s="452"/>
    </row>
    <row r="6" spans="1:30" ht="44.25" customHeight="1">
      <c r="A6" s="223"/>
      <c r="B6" s="230">
        <f>A4</f>
        <v>2025</v>
      </c>
      <c r="C6" s="231">
        <f>B6-1</f>
        <v>2024</v>
      </c>
      <c r="D6" s="193" t="s">
        <v>250</v>
      </c>
      <c r="E6" s="231">
        <f>B6</f>
        <v>2025</v>
      </c>
      <c r="F6" s="231">
        <f>C6</f>
        <v>2024</v>
      </c>
      <c r="G6" s="193" t="s">
        <v>251</v>
      </c>
      <c r="H6" s="232">
        <f>B6</f>
        <v>2025</v>
      </c>
      <c r="I6" s="230">
        <f>B6</f>
        <v>2025</v>
      </c>
      <c r="J6" s="231">
        <f>C6</f>
        <v>2024</v>
      </c>
      <c r="K6" s="231">
        <f>B6</f>
        <v>2025</v>
      </c>
      <c r="L6" s="231">
        <f>C6</f>
        <v>2024</v>
      </c>
      <c r="M6" s="231">
        <f>B6</f>
        <v>2025</v>
      </c>
      <c r="N6" s="224" t="s">
        <v>322</v>
      </c>
      <c r="O6" s="225" t="s">
        <v>323</v>
      </c>
      <c r="P6" s="225" t="s">
        <v>324</v>
      </c>
      <c r="Q6" s="225" t="s">
        <v>325</v>
      </c>
      <c r="R6" s="226" t="s">
        <v>326</v>
      </c>
      <c r="S6" s="453"/>
      <c r="T6" s="453"/>
    </row>
    <row r="7" spans="1:30" ht="12" customHeight="1">
      <c r="A7" s="175" t="s">
        <v>157</v>
      </c>
      <c r="B7" s="182">
        <v>1044.1231458692557</v>
      </c>
      <c r="C7" s="176">
        <v>1051.8346482870036</v>
      </c>
      <c r="D7" s="210">
        <v>-7.3314778423649073E-3</v>
      </c>
      <c r="E7" s="177">
        <v>1108.1088840000853</v>
      </c>
      <c r="F7" s="177">
        <v>1084.9418330813419</v>
      </c>
      <c r="G7" s="210">
        <v>2.1353265412346265E-2</v>
      </c>
      <c r="H7" s="184">
        <v>1080.0000000000002</v>
      </c>
      <c r="I7" s="188">
        <v>11353.759200005048</v>
      </c>
      <c r="J7" s="177">
        <v>11462.560158922945</v>
      </c>
      <c r="K7" s="177">
        <v>12049.537917147853</v>
      </c>
      <c r="L7" s="176">
        <v>11823.352020852137</v>
      </c>
      <c r="M7" s="176">
        <v>11770.000000000005</v>
      </c>
      <c r="N7" s="182">
        <v>0.45806774193548383</v>
      </c>
      <c r="O7" s="176">
        <v>5.0999999999999996</v>
      </c>
      <c r="P7" s="176">
        <v>-3.7</v>
      </c>
      <c r="Q7" s="176">
        <v>-1.1741935483870967</v>
      </c>
      <c r="R7" s="186">
        <v>1.6322612903225804</v>
      </c>
      <c r="S7" s="208">
        <v>74.632251224182681</v>
      </c>
      <c r="T7" s="208">
        <v>813.63618399999984</v>
      </c>
      <c r="U7" s="57"/>
      <c r="V7" s="405"/>
      <c r="W7" s="405"/>
      <c r="X7" s="405"/>
      <c r="Y7" s="405"/>
      <c r="Z7" s="405"/>
      <c r="AA7" s="405"/>
      <c r="AB7" s="405"/>
      <c r="AC7" s="405"/>
      <c r="AD7" s="405"/>
    </row>
    <row r="8" spans="1:30" ht="12" customHeight="1">
      <c r="A8" s="175" t="s">
        <v>158</v>
      </c>
      <c r="B8" s="182">
        <v>961.93776684198417</v>
      </c>
      <c r="C8" s="177">
        <v>707.92619800240516</v>
      </c>
      <c r="D8" s="210">
        <v>0.35881080479340588</v>
      </c>
      <c r="E8" s="177">
        <v>932.91698346401404</v>
      </c>
      <c r="F8" s="177">
        <v>882.93409012381642</v>
      </c>
      <c r="G8" s="210">
        <v>5.6609993768830892E-2</v>
      </c>
      <c r="H8" s="184">
        <v>869.99999999999977</v>
      </c>
      <c r="I8" s="188">
        <v>10439.624613993816</v>
      </c>
      <c r="J8" s="177">
        <v>7710.9116847610421</v>
      </c>
      <c r="K8" s="177">
        <v>10124.670679432467</v>
      </c>
      <c r="L8" s="176">
        <v>9617.1408770625312</v>
      </c>
      <c r="M8" s="176">
        <v>9480</v>
      </c>
      <c r="N8" s="188">
        <v>-0.79639285714285712</v>
      </c>
      <c r="O8" s="177">
        <v>4.7</v>
      </c>
      <c r="P8" s="177">
        <v>-6.8</v>
      </c>
      <c r="Q8" s="177">
        <v>0.26896551724137935</v>
      </c>
      <c r="R8" s="186">
        <v>-1.0653583743842365</v>
      </c>
      <c r="S8" s="208">
        <v>69.118859318814089</v>
      </c>
      <c r="T8" s="208">
        <v>755.02336600000012</v>
      </c>
      <c r="U8" s="57"/>
      <c r="V8" s="405"/>
      <c r="W8" s="405"/>
      <c r="X8" s="405"/>
      <c r="Y8" s="405"/>
      <c r="Z8" s="405"/>
      <c r="AA8" s="405"/>
      <c r="AB8" s="405"/>
      <c r="AC8" s="405"/>
      <c r="AD8" s="405"/>
    </row>
    <row r="9" spans="1:30" ht="12" customHeight="1">
      <c r="A9" s="178" t="s">
        <v>159</v>
      </c>
      <c r="B9" s="183">
        <v>750.99543483566788</v>
      </c>
      <c r="C9" s="180">
        <v>654.98160796707873</v>
      </c>
      <c r="D9" s="213">
        <v>0.146590111387395</v>
      </c>
      <c r="E9" s="180">
        <v>810.13775562788601</v>
      </c>
      <c r="F9" s="180">
        <v>785.91423041470773</v>
      </c>
      <c r="G9" s="213">
        <v>3.0822097724832027E-2</v>
      </c>
      <c r="H9" s="185">
        <v>779.99999999999989</v>
      </c>
      <c r="I9" s="189">
        <v>8191.6041601720672</v>
      </c>
      <c r="J9" s="180">
        <v>7124.8621737359454</v>
      </c>
      <c r="K9" s="180">
        <v>8836.7085890022845</v>
      </c>
      <c r="L9" s="179">
        <v>8549.1420969586725</v>
      </c>
      <c r="M9" s="187">
        <v>8499.9999999999964</v>
      </c>
      <c r="N9" s="189">
        <v>5.258064516129032</v>
      </c>
      <c r="O9" s="180">
        <v>9.4</v>
      </c>
      <c r="P9" s="180">
        <v>-1.3</v>
      </c>
      <c r="Q9" s="180">
        <v>3.4870967741935481</v>
      </c>
      <c r="R9" s="187">
        <v>1.7709677419354839</v>
      </c>
      <c r="S9" s="214">
        <v>58.808681437618873</v>
      </c>
      <c r="T9" s="214">
        <v>644.44721699999991</v>
      </c>
      <c r="U9" s="57"/>
      <c r="V9" s="405"/>
      <c r="W9" s="405"/>
      <c r="X9" s="405"/>
      <c r="Y9" s="405"/>
      <c r="Z9" s="405"/>
      <c r="AA9" s="405"/>
      <c r="AB9" s="405"/>
      <c r="AC9" s="405"/>
      <c r="AD9" s="405"/>
    </row>
    <row r="10" spans="1:30" ht="12" customHeight="1">
      <c r="A10" s="175" t="s">
        <v>160</v>
      </c>
      <c r="B10" s="182">
        <v>502.89818413239283</v>
      </c>
      <c r="C10" s="177">
        <v>474.77912780330303</v>
      </c>
      <c r="D10" s="210">
        <v>5.9225552856947174E-2</v>
      </c>
      <c r="E10" s="177">
        <v>557.38442108344702</v>
      </c>
      <c r="F10" s="177">
        <v>523.41122942256436</v>
      </c>
      <c r="G10" s="210">
        <v>6.4907265551720064E-2</v>
      </c>
      <c r="H10" s="184">
        <v>519.99999999999977</v>
      </c>
      <c r="I10" s="188">
        <v>5509.3177196119941</v>
      </c>
      <c r="J10" s="177">
        <v>5171.8313923864735</v>
      </c>
      <c r="K10" s="177">
        <v>6106.2218250171445</v>
      </c>
      <c r="L10" s="176">
        <v>5701.5906363503454</v>
      </c>
      <c r="M10" s="176">
        <v>5670</v>
      </c>
      <c r="N10" s="182">
        <v>10.493333333333334</v>
      </c>
      <c r="O10" s="176">
        <v>19</v>
      </c>
      <c r="P10" s="176">
        <v>0.6</v>
      </c>
      <c r="Q10" s="176">
        <v>8.6933333333333316</v>
      </c>
      <c r="R10" s="186">
        <v>1.8000000000000025</v>
      </c>
      <c r="S10" s="208">
        <v>52.507407114482398</v>
      </c>
      <c r="T10" s="208">
        <v>574.8987709999999</v>
      </c>
      <c r="U10" s="57"/>
      <c r="V10" s="68"/>
      <c r="X10" s="405"/>
      <c r="Y10" s="405"/>
    </row>
    <row r="11" spans="1:30" ht="12" customHeight="1">
      <c r="A11" s="175" t="s">
        <v>161</v>
      </c>
      <c r="B11" s="182">
        <v>414.64388831417494</v>
      </c>
      <c r="C11" s="177">
        <v>326.60808830236601</v>
      </c>
      <c r="D11" s="210">
        <v>0.26954568231729609</v>
      </c>
      <c r="E11" s="177">
        <v>381.56750196106975</v>
      </c>
      <c r="F11" s="177">
        <v>348.27310518579651</v>
      </c>
      <c r="G11" s="210">
        <v>9.5598529658244405E-2</v>
      </c>
      <c r="H11" s="184">
        <v>350.00000000000011</v>
      </c>
      <c r="I11" s="188">
        <v>4550.7326011059922</v>
      </c>
      <c r="J11" s="177">
        <v>3574.8436333030163</v>
      </c>
      <c r="K11" s="177">
        <v>4187.7179903858578</v>
      </c>
      <c r="L11" s="176">
        <v>3811.9743620998324</v>
      </c>
      <c r="M11" s="176">
        <v>3810.0000000000018</v>
      </c>
      <c r="N11" s="188">
        <v>11.441935483870969</v>
      </c>
      <c r="O11" s="177">
        <v>18.7</v>
      </c>
      <c r="P11" s="177">
        <v>7.1</v>
      </c>
      <c r="Q11" s="177">
        <v>13.409677419354839</v>
      </c>
      <c r="R11" s="186">
        <v>-1.9677419354838701</v>
      </c>
      <c r="S11" s="208">
        <v>44.205435608647733</v>
      </c>
      <c r="T11" s="208">
        <v>485.04611600000004</v>
      </c>
      <c r="U11" s="57"/>
      <c r="V11" s="68"/>
      <c r="X11" s="405"/>
      <c r="Y11" s="405"/>
    </row>
    <row r="12" spans="1:30" ht="12" customHeight="1">
      <c r="A12" s="178" t="s">
        <v>162</v>
      </c>
      <c r="B12" s="183">
        <v>299.40920238396802</v>
      </c>
      <c r="C12" s="180">
        <v>294.06973836146796</v>
      </c>
      <c r="D12" s="213">
        <v>1.8157135284477467E-2</v>
      </c>
      <c r="E12" s="180">
        <v>303.1602252985378</v>
      </c>
      <c r="F12" s="180">
        <v>299.57001871686651</v>
      </c>
      <c r="G12" s="213">
        <v>1.1984532354235704E-2</v>
      </c>
      <c r="H12" s="185">
        <v>300</v>
      </c>
      <c r="I12" s="189">
        <v>3279.1111794740009</v>
      </c>
      <c r="J12" s="180">
        <v>3210.9659700298416</v>
      </c>
      <c r="K12" s="180">
        <v>3320.1921518545864</v>
      </c>
      <c r="L12" s="179">
        <v>3271.0234666013662</v>
      </c>
      <c r="M12" s="187">
        <v>3270</v>
      </c>
      <c r="N12" s="189">
        <v>18.329999999999998</v>
      </c>
      <c r="O12" s="180">
        <v>23.5</v>
      </c>
      <c r="P12" s="180">
        <v>11.9</v>
      </c>
      <c r="Q12" s="180">
        <v>17</v>
      </c>
      <c r="R12" s="187">
        <v>1.3299999999999983</v>
      </c>
      <c r="S12" s="214">
        <v>35.001613004283222</v>
      </c>
      <c r="T12" s="214">
        <v>382.843568</v>
      </c>
      <c r="U12" s="66"/>
      <c r="V12" s="68"/>
    </row>
    <row r="13" spans="1:30" ht="12" customHeight="1">
      <c r="A13" s="175" t="s">
        <v>163</v>
      </c>
      <c r="B13" s="182">
        <v>294.89504768843807</v>
      </c>
      <c r="C13" s="177">
        <v>269.85842491569701</v>
      </c>
      <c r="D13" s="210">
        <v>9.2776880249569468E-2</v>
      </c>
      <c r="E13" s="177">
        <v>293.56246588155869</v>
      </c>
      <c r="F13" s="177">
        <v>276.58693408234461</v>
      </c>
      <c r="G13" s="210">
        <v>6.1375031526833365E-2</v>
      </c>
      <c r="H13" s="184">
        <v>280.00000000000006</v>
      </c>
      <c r="I13" s="188">
        <v>3239.9582034540026</v>
      </c>
      <c r="J13" s="177">
        <v>2945.6406820407369</v>
      </c>
      <c r="K13" s="177">
        <v>3225.3173697376833</v>
      </c>
      <c r="L13" s="176">
        <v>3019.0923540161284</v>
      </c>
      <c r="M13" s="176">
        <v>3050.0000000000018</v>
      </c>
      <c r="N13" s="182">
        <v>18.161290322580648</v>
      </c>
      <c r="O13" s="176">
        <v>24.2</v>
      </c>
      <c r="P13" s="176">
        <v>13.5</v>
      </c>
      <c r="Q13" s="176">
        <v>18.674193548387095</v>
      </c>
      <c r="R13" s="186">
        <v>-0.51290322580644698</v>
      </c>
      <c r="S13" s="208">
        <v>44.105077277377497</v>
      </c>
      <c r="T13" s="208">
        <v>484.98184600000002</v>
      </c>
      <c r="U13" s="57"/>
      <c r="V13" s="68"/>
    </row>
    <row r="14" spans="1:30" ht="12" customHeight="1">
      <c r="A14" s="175" t="s">
        <v>164</v>
      </c>
      <c r="B14" s="182">
        <v>268.41715528838796</v>
      </c>
      <c r="C14" s="177">
        <v>280.152276871325</v>
      </c>
      <c r="D14" s="210">
        <v>-4.1888367690572172E-2</v>
      </c>
      <c r="E14" s="177">
        <v>267.8776735482196</v>
      </c>
      <c r="F14" s="177">
        <v>288.50439631378231</v>
      </c>
      <c r="G14" s="210">
        <v>-7.1495349911856201E-2</v>
      </c>
      <c r="H14" s="184">
        <v>289.99999999999994</v>
      </c>
      <c r="I14" s="188">
        <v>2958.1145037529973</v>
      </c>
      <c r="J14" s="177">
        <v>3061.2902789560067</v>
      </c>
      <c r="K14" s="177">
        <v>2952.16909851842</v>
      </c>
      <c r="L14" s="176">
        <v>3152.5560202128668</v>
      </c>
      <c r="M14" s="176">
        <v>3160.0000000000014</v>
      </c>
      <c r="N14" s="188">
        <v>17.899999999999999</v>
      </c>
      <c r="O14" s="177">
        <v>24.7</v>
      </c>
      <c r="P14" s="177">
        <v>11.9</v>
      </c>
      <c r="Q14" s="177">
        <v>18.203225806451616</v>
      </c>
      <c r="R14" s="186">
        <v>-0.30322580645161779</v>
      </c>
      <c r="S14" s="208">
        <v>21.956492783828448</v>
      </c>
      <c r="T14" s="208">
        <v>242.67920699999996</v>
      </c>
      <c r="U14" s="57"/>
      <c r="V14" s="68"/>
    </row>
    <row r="15" spans="1:30" ht="12" customHeight="1">
      <c r="A15" s="178" t="s">
        <v>165</v>
      </c>
      <c r="B15" s="183">
        <v>320.26533562107511</v>
      </c>
      <c r="C15" s="180">
        <v>336.54445143811495</v>
      </c>
      <c r="D15" s="213">
        <v>-4.8371368915684831E-2</v>
      </c>
      <c r="E15" s="180">
        <v>329.02307469110218</v>
      </c>
      <c r="F15" s="180">
        <v>361.93390634522927</v>
      </c>
      <c r="G15" s="213">
        <v>-9.0930501611350065E-2</v>
      </c>
      <c r="H15" s="185">
        <v>350.00000000000006</v>
      </c>
      <c r="I15" s="189">
        <v>3541.1890626830073</v>
      </c>
      <c r="J15" s="180">
        <v>3683.2365194460099</v>
      </c>
      <c r="K15" s="180">
        <v>3638.02380050585</v>
      </c>
      <c r="L15" s="179">
        <v>3961.111760836397</v>
      </c>
      <c r="M15" s="179">
        <v>3810</v>
      </c>
      <c r="N15" s="189">
        <v>14.100000000000001</v>
      </c>
      <c r="O15" s="180">
        <v>19.8</v>
      </c>
      <c r="P15" s="180">
        <v>6.3</v>
      </c>
      <c r="Q15" s="180">
        <v>13.360000000000001</v>
      </c>
      <c r="R15" s="187">
        <v>0.74000000000000021</v>
      </c>
      <c r="S15" s="214">
        <v>16.996146981954851</v>
      </c>
      <c r="T15" s="214">
        <v>188.04283699999999</v>
      </c>
      <c r="U15" s="57"/>
      <c r="V15" s="68"/>
    </row>
    <row r="16" spans="1:30" ht="12" customHeight="1">
      <c r="A16" s="175" t="s">
        <v>166</v>
      </c>
      <c r="B16" s="182"/>
      <c r="C16" s="177">
        <v>555.18171762775808</v>
      </c>
      <c r="D16" s="210"/>
      <c r="E16" s="177"/>
      <c r="F16" s="177">
        <v>593.36219588806307</v>
      </c>
      <c r="G16" s="210"/>
      <c r="H16" s="184">
        <v>560.00000000000011</v>
      </c>
      <c r="I16" s="188"/>
      <c r="J16" s="177">
        <v>6079.5931446342929</v>
      </c>
      <c r="K16" s="177"/>
      <c r="L16" s="176">
        <v>6497.6948915138755</v>
      </c>
      <c r="M16" s="176">
        <v>6100.0000000000036</v>
      </c>
      <c r="N16" s="182"/>
      <c r="O16" s="176"/>
      <c r="P16" s="176"/>
      <c r="Q16" s="176">
        <v>8.6774193548387117</v>
      </c>
      <c r="R16" s="186"/>
      <c r="S16" s="208"/>
      <c r="T16" s="208"/>
      <c r="U16" s="57"/>
      <c r="V16" s="68"/>
    </row>
    <row r="17" spans="1:22" ht="12" customHeight="1">
      <c r="A17" s="175" t="s">
        <v>167</v>
      </c>
      <c r="B17" s="182"/>
      <c r="C17" s="177">
        <v>865.47727314726387</v>
      </c>
      <c r="D17" s="210"/>
      <c r="E17" s="177"/>
      <c r="F17" s="177">
        <v>843.13227405655152</v>
      </c>
      <c r="G17" s="210"/>
      <c r="H17" s="184">
        <v>769.99999999999977</v>
      </c>
      <c r="I17" s="188"/>
      <c r="J17" s="177">
        <v>9446.8208867750272</v>
      </c>
      <c r="K17" s="177"/>
      <c r="L17" s="176">
        <v>9202.9196995812199</v>
      </c>
      <c r="M17" s="176">
        <v>8390.0000000000036</v>
      </c>
      <c r="N17" s="188"/>
      <c r="O17" s="177"/>
      <c r="P17" s="177"/>
      <c r="Q17" s="177">
        <v>3.9166666666666656</v>
      </c>
      <c r="R17" s="186"/>
      <c r="S17" s="208"/>
      <c r="T17" s="208"/>
      <c r="U17" s="57"/>
      <c r="V17" s="68"/>
    </row>
    <row r="18" spans="1:22" ht="12" customHeight="1">
      <c r="A18" s="178" t="s">
        <v>168</v>
      </c>
      <c r="B18" s="183"/>
      <c r="C18" s="180">
        <v>949.24367055958294</v>
      </c>
      <c r="D18" s="213"/>
      <c r="E18" s="180"/>
      <c r="F18" s="180">
        <v>996.0181899766294</v>
      </c>
      <c r="G18" s="213"/>
      <c r="H18" s="185">
        <v>980.00000000000023</v>
      </c>
      <c r="I18" s="189"/>
      <c r="J18" s="180">
        <v>10335.768841572135</v>
      </c>
      <c r="K18" s="180"/>
      <c r="L18" s="179">
        <v>10845.069281288157</v>
      </c>
      <c r="M18" s="179">
        <v>10679.999999999991</v>
      </c>
      <c r="N18" s="189"/>
      <c r="O18" s="180"/>
      <c r="P18" s="180"/>
      <c r="Q18" s="180">
        <v>-8.0645161290322551E-2</v>
      </c>
      <c r="R18" s="187"/>
      <c r="S18" s="214"/>
      <c r="T18" s="214"/>
      <c r="U18" s="57"/>
      <c r="V18" s="68"/>
    </row>
    <row r="19" spans="1:22" ht="12" customHeight="1">
      <c r="A19" s="175" t="s">
        <v>47</v>
      </c>
      <c r="B19" s="219">
        <f>SUM(B7:B9)</f>
        <v>2757.0563475469075</v>
      </c>
      <c r="C19" s="380">
        <f>SUM(C7:C9)</f>
        <v>2414.7424542564872</v>
      </c>
      <c r="D19" s="210">
        <f>(B19-C19)/C19</f>
        <v>0.14176000123202401</v>
      </c>
      <c r="E19" s="211">
        <f t="shared" ref="E19:F19" si="0">SUM(E7:E9)</f>
        <v>2851.1636230919853</v>
      </c>
      <c r="F19" s="211">
        <f t="shared" si="0"/>
        <v>2753.790153619866</v>
      </c>
      <c r="G19" s="210">
        <f t="shared" ref="G19:G25" si="1">(E19-F19)/F19</f>
        <v>3.5359800144583106E-2</v>
      </c>
      <c r="H19" s="371">
        <f t="shared" ref="H19:M19" si="2">SUM(H7:H9)</f>
        <v>2730</v>
      </c>
      <c r="I19" s="219">
        <f>SUM(I7:I9)</f>
        <v>29984.987974170934</v>
      </c>
      <c r="J19" s="380">
        <f t="shared" si="2"/>
        <v>26298.334017419933</v>
      </c>
      <c r="K19" s="211">
        <f t="shared" si="2"/>
        <v>31010.917185582606</v>
      </c>
      <c r="L19" s="211">
        <f t="shared" si="2"/>
        <v>29989.63499487334</v>
      </c>
      <c r="M19" s="371">
        <f t="shared" si="2"/>
        <v>29750.000000000004</v>
      </c>
      <c r="N19" s="219">
        <f>AVERAGE(N7:N9)</f>
        <v>1.6399131336405528</v>
      </c>
      <c r="O19" s="211">
        <f>MAX(O7:O9)</f>
        <v>9.4</v>
      </c>
      <c r="P19" s="211">
        <f>MIN(P7:P9)</f>
        <v>-6.8</v>
      </c>
      <c r="Q19" s="211">
        <f>AVERAGE(Q7:Q9)</f>
        <v>0.86062291434927696</v>
      </c>
      <c r="R19" s="222">
        <f>N19-Q19</f>
        <v>0.77929021929127584</v>
      </c>
      <c r="S19" s="211">
        <f>SUM(S7:S9)</f>
        <v>202.55979198061564</v>
      </c>
      <c r="T19" s="211">
        <f>SUM(T7:T9)</f>
        <v>2213.1067669999998</v>
      </c>
      <c r="U19" s="63"/>
      <c r="V19" s="68"/>
    </row>
    <row r="20" spans="1:22" ht="12" customHeight="1">
      <c r="A20" s="175" t="s">
        <v>55</v>
      </c>
      <c r="B20" s="219">
        <f>SUM(B10:B12)</f>
        <v>1216.9512748305358</v>
      </c>
      <c r="C20" s="211">
        <f>SUM(C10:C12)</f>
        <v>1095.4569544671369</v>
      </c>
      <c r="D20" s="210">
        <f>(B20-C20)/C20</f>
        <v>0.11090743444364487</v>
      </c>
      <c r="E20" s="211">
        <f t="shared" ref="E20:I20" si="3">SUM(E10:E12)</f>
        <v>1242.1121483430545</v>
      </c>
      <c r="F20" s="211">
        <f t="shared" ref="F20" si="4">SUM(F10:F12)</f>
        <v>1171.2543533252274</v>
      </c>
      <c r="G20" s="210">
        <f>(E20-F20)/F20</f>
        <v>6.0497358935452113E-2</v>
      </c>
      <c r="H20" s="222">
        <f>SUM(H10:H12)</f>
        <v>1170</v>
      </c>
      <c r="I20" s="219">
        <f t="shared" si="3"/>
        <v>13339.161500191987</v>
      </c>
      <c r="J20" s="211">
        <f t="shared" ref="J20" si="5">SUM(J10:J12)</f>
        <v>11957.640995719332</v>
      </c>
      <c r="K20" s="211">
        <f>SUM(K10:K12)</f>
        <v>13614.131967257588</v>
      </c>
      <c r="L20" s="211">
        <f>SUM(L10:L12)</f>
        <v>12784.588465051544</v>
      </c>
      <c r="M20" s="222">
        <f>SUM(M10:M12)</f>
        <v>12750.000000000002</v>
      </c>
      <c r="N20" s="219">
        <f>AVERAGE(N10:N12)</f>
        <v>13.421756272401433</v>
      </c>
      <c r="O20" s="211">
        <f>MAX(O10:O12)</f>
        <v>23.5</v>
      </c>
      <c r="P20" s="211">
        <f>MIN(P10:P12)</f>
        <v>0.6</v>
      </c>
      <c r="Q20" s="211">
        <f>AVERAGE(Q10:Q12)</f>
        <v>13.034336917562724</v>
      </c>
      <c r="R20" s="222">
        <f t="shared" ref="R20:R25" si="6">N20-Q20</f>
        <v>0.38741935483870904</v>
      </c>
      <c r="S20" s="211">
        <f>SUM(S10:S12)</f>
        <v>131.71445572741337</v>
      </c>
      <c r="T20" s="211">
        <f>SUM(T10:T12)</f>
        <v>1442.7884549999999</v>
      </c>
      <c r="V20" s="68"/>
    </row>
    <row r="21" spans="1:22" ht="12" customHeight="1">
      <c r="A21" s="175" t="s">
        <v>62</v>
      </c>
      <c r="B21" s="219">
        <f>SUM(B13:B15)</f>
        <v>883.57753859790114</v>
      </c>
      <c r="C21" s="211">
        <f>SUM(C13:C15)</f>
        <v>886.55515322513702</v>
      </c>
      <c r="D21" s="210">
        <f t="shared" ref="D21:D25" si="7">(B21-C21)/C21</f>
        <v>-3.3586343911079014E-3</v>
      </c>
      <c r="E21" s="211">
        <f t="shared" ref="E21:K21" si="8">SUM(E13:E15)</f>
        <v>890.46321412088059</v>
      </c>
      <c r="F21" s="211">
        <f t="shared" ref="F21" si="9">SUM(F13:F15)</f>
        <v>927.02523674135625</v>
      </c>
      <c r="G21" s="210">
        <f t="shared" si="1"/>
        <v>-3.9440158877440151E-2</v>
      </c>
      <c r="H21" s="222">
        <f>SUM(H13:H15)</f>
        <v>920</v>
      </c>
      <c r="I21" s="219">
        <f t="shared" si="8"/>
        <v>9739.2617698900067</v>
      </c>
      <c r="J21" s="211">
        <f t="shared" ref="J21" si="10">SUM(J13:J15)</f>
        <v>9690.167480442753</v>
      </c>
      <c r="K21" s="211">
        <f t="shared" si="8"/>
        <v>9815.5102687619546</v>
      </c>
      <c r="L21" s="211">
        <f t="shared" ref="L21" si="11">SUM(L13:L15)</f>
        <v>10132.760135065391</v>
      </c>
      <c r="M21" s="222">
        <f>SUM(M13:M15)</f>
        <v>10020.000000000004</v>
      </c>
      <c r="N21" s="219">
        <f>AVERAGE(N13:N15)</f>
        <v>16.720430107526884</v>
      </c>
      <c r="O21" s="211">
        <f>MAX(O13:O15)</f>
        <v>24.7</v>
      </c>
      <c r="P21" s="211">
        <f>MIN(P13:P15)</f>
        <v>6.3</v>
      </c>
      <c r="Q21" s="211">
        <f>AVERAGE(Q13:Q15)</f>
        <v>16.745806451612903</v>
      </c>
      <c r="R21" s="222">
        <f>N21-Q21</f>
        <v>-2.5376344086019742E-2</v>
      </c>
      <c r="S21" s="211">
        <f t="shared" ref="S21:T21" si="12">SUM(S13:S15)</f>
        <v>83.057717043160793</v>
      </c>
      <c r="T21" s="211">
        <f t="shared" si="12"/>
        <v>915.70389</v>
      </c>
      <c r="V21" s="68"/>
    </row>
    <row r="22" spans="1:22" ht="12" customHeight="1">
      <c r="A22" s="178" t="s">
        <v>56</v>
      </c>
      <c r="B22" s="389">
        <f>SUM(B16:B18)</f>
        <v>0</v>
      </c>
      <c r="C22" s="409">
        <f>SUM(C16:C18)</f>
        <v>2369.902661334605</v>
      </c>
      <c r="D22" s="391">
        <f t="shared" si="7"/>
        <v>-1</v>
      </c>
      <c r="E22" s="390">
        <f t="shared" ref="E22:K22" si="13">SUM(E16:E18)</f>
        <v>0</v>
      </c>
      <c r="F22" s="409">
        <f t="shared" ref="F22" si="14">SUM(F16:F18)</f>
        <v>2432.512659921244</v>
      </c>
      <c r="G22" s="391">
        <f t="shared" si="1"/>
        <v>-1</v>
      </c>
      <c r="H22" s="403">
        <f>SUM(H16:H18)</f>
        <v>2310</v>
      </c>
      <c r="I22" s="389">
        <f t="shared" si="13"/>
        <v>0</v>
      </c>
      <c r="J22" s="409">
        <f t="shared" ref="J22" si="15">SUM(J16:J18)</f>
        <v>25862.182872981455</v>
      </c>
      <c r="K22" s="390">
        <f t="shared" si="13"/>
        <v>0</v>
      </c>
      <c r="L22" s="409">
        <f t="shared" ref="L22" si="16">SUM(L16:L18)</f>
        <v>26545.683872383252</v>
      </c>
      <c r="M22" s="403">
        <f>SUM(M16:M18)</f>
        <v>25170</v>
      </c>
      <c r="N22" s="389" t="e">
        <f>AVERAGE(N16:N18)</f>
        <v>#DIV/0!</v>
      </c>
      <c r="O22" s="390">
        <f>MAX(O16:O18)</f>
        <v>0</v>
      </c>
      <c r="P22" s="390">
        <f>MIN(P16:P18)</f>
        <v>0</v>
      </c>
      <c r="Q22" s="409">
        <f>AVERAGE(Q16:Q18)</f>
        <v>4.1711469534050183</v>
      </c>
      <c r="R22" s="392" t="e">
        <f t="shared" si="6"/>
        <v>#DIV/0!</v>
      </c>
      <c r="S22" s="390">
        <f t="shared" ref="S22:T22" si="17">SUM(S16:S18)</f>
        <v>0</v>
      </c>
      <c r="T22" s="390">
        <f t="shared" si="17"/>
        <v>0</v>
      </c>
      <c r="V22" s="68"/>
    </row>
    <row r="23" spans="1:22" ht="12" customHeight="1">
      <c r="A23" s="175" t="s">
        <v>57</v>
      </c>
      <c r="B23" s="219">
        <f>SUM(B7:B12)</f>
        <v>3974.0076223774436</v>
      </c>
      <c r="C23" s="211">
        <f>SUM(C7:C12)</f>
        <v>3510.1994087236244</v>
      </c>
      <c r="D23" s="210">
        <f t="shared" si="7"/>
        <v>0.13213158560198968</v>
      </c>
      <c r="E23" s="211">
        <f>SUM(E7:E12)</f>
        <v>4093.27577143504</v>
      </c>
      <c r="F23" s="211">
        <f>SUM(F7:F12)</f>
        <v>3925.044506945093</v>
      </c>
      <c r="G23" s="210">
        <f>(E23-F23)/F23</f>
        <v>4.286098264421552E-2</v>
      </c>
      <c r="H23" s="222">
        <f>SUM(H7:H12)</f>
        <v>3900</v>
      </c>
      <c r="I23" s="219">
        <f t="shared" ref="I23:K23" si="18">SUM(I7:I12)</f>
        <v>43324.149474362915</v>
      </c>
      <c r="J23" s="211">
        <f t="shared" ref="J23" si="19">SUM(J7:J12)</f>
        <v>38255.975013139265</v>
      </c>
      <c r="K23" s="211">
        <f t="shared" si="18"/>
        <v>44625.049152840191</v>
      </c>
      <c r="L23" s="211">
        <f t="shared" ref="L23" si="20">SUM(L7:L12)</f>
        <v>42774.223459924884</v>
      </c>
      <c r="M23" s="222">
        <f>SUM(M7:M12)</f>
        <v>42500</v>
      </c>
      <c r="N23" s="219">
        <f>AVERAGE(N7:N12)</f>
        <v>7.530834703020993</v>
      </c>
      <c r="O23" s="211">
        <f>MAX(O7:O12)</f>
        <v>23.5</v>
      </c>
      <c r="P23" s="211">
        <f>MIN(P7:P12)</f>
        <v>-6.8</v>
      </c>
      <c r="Q23" s="211">
        <f>AVERAGE(Q7:Q12)</f>
        <v>6.9474799159559995</v>
      </c>
      <c r="R23" s="222">
        <f t="shared" si="6"/>
        <v>0.58335478706499355</v>
      </c>
      <c r="S23" s="211">
        <f>SUM(S7:S12)</f>
        <v>334.27424770802901</v>
      </c>
      <c r="T23" s="211">
        <f>SUM(T7:T12)</f>
        <v>3655.8952219999992</v>
      </c>
      <c r="V23" s="68"/>
    </row>
    <row r="24" spans="1:22" ht="12" customHeight="1">
      <c r="A24" s="178" t="s">
        <v>58</v>
      </c>
      <c r="B24" s="389">
        <f>SUM(B13:B18)</f>
        <v>883.57753859790114</v>
      </c>
      <c r="C24" s="409">
        <f>SUM(C13:C18)</f>
        <v>3256.457814559742</v>
      </c>
      <c r="D24" s="391">
        <f t="shared" si="7"/>
        <v>-0.72866912795633543</v>
      </c>
      <c r="E24" s="390">
        <f t="shared" ref="E24:K24" si="21">SUM(E13:E18)</f>
        <v>890.46321412088059</v>
      </c>
      <c r="F24" s="409">
        <f t="shared" ref="F24" si="22">SUM(F13:F18)</f>
        <v>3359.5378966626004</v>
      </c>
      <c r="G24" s="391">
        <f t="shared" si="1"/>
        <v>-0.73494473302251606</v>
      </c>
      <c r="H24" s="403">
        <f>SUM(H13:H18)</f>
        <v>3230</v>
      </c>
      <c r="I24" s="389">
        <f t="shared" si="21"/>
        <v>9739.2617698900067</v>
      </c>
      <c r="J24" s="409">
        <f t="shared" ref="J24" si="23">SUM(J13:J18)</f>
        <v>35552.350353424205</v>
      </c>
      <c r="K24" s="390">
        <f t="shared" si="21"/>
        <v>9815.5102687619546</v>
      </c>
      <c r="L24" s="409">
        <f t="shared" ref="L24" si="24">SUM(L13:L18)</f>
        <v>36678.444007448648</v>
      </c>
      <c r="M24" s="403">
        <f>SUM(M13:M18)</f>
        <v>35190</v>
      </c>
      <c r="N24" s="389">
        <f>AVERAGE(N13:N18)</f>
        <v>16.720430107526884</v>
      </c>
      <c r="O24" s="390">
        <f>MAX(O13:O18)</f>
        <v>24.7</v>
      </c>
      <c r="P24" s="390">
        <f>MIN(P13:P18)</f>
        <v>6.3</v>
      </c>
      <c r="Q24" s="409">
        <f>AVERAGE(Q13:Q18)</f>
        <v>10.45847670250896</v>
      </c>
      <c r="R24" s="392">
        <f t="shared" si="6"/>
        <v>6.2619534050179233</v>
      </c>
      <c r="S24" s="390">
        <f t="shared" ref="S24:T24" si="25">SUM(S13:S18)</f>
        <v>83.057717043160793</v>
      </c>
      <c r="T24" s="390">
        <f t="shared" si="25"/>
        <v>915.70389</v>
      </c>
      <c r="V24" s="68"/>
    </row>
    <row r="25" spans="1:22" ht="12" customHeight="1">
      <c r="A25" s="215" t="s">
        <v>169</v>
      </c>
      <c r="B25" s="393">
        <f>SUM(B7:B18)</f>
        <v>4857.5851609753445</v>
      </c>
      <c r="C25" s="410">
        <f>SUM(C7:C18)</f>
        <v>6766.657223283366</v>
      </c>
      <c r="D25" s="395">
        <f t="shared" si="7"/>
        <v>-0.28212926993539772</v>
      </c>
      <c r="E25" s="394">
        <f t="shared" ref="E25:K25" si="26">SUM(E7:E18)</f>
        <v>4983.7389855559204</v>
      </c>
      <c r="F25" s="410">
        <f t="shared" ref="F25" si="27">SUM(F7:F18)</f>
        <v>7284.5824036076929</v>
      </c>
      <c r="G25" s="395">
        <f t="shared" si="1"/>
        <v>-0.31585110725252813</v>
      </c>
      <c r="H25" s="404">
        <f>SUM(H7:H18)</f>
        <v>7130</v>
      </c>
      <c r="I25" s="393">
        <f t="shared" si="26"/>
        <v>53063.411244252922</v>
      </c>
      <c r="J25" s="410">
        <f t="shared" ref="J25" si="28">SUM(J7:J18)</f>
        <v>73808.325366563484</v>
      </c>
      <c r="K25" s="394">
        <f t="shared" si="26"/>
        <v>54440.559421602142</v>
      </c>
      <c r="L25" s="410">
        <f t="shared" ref="L25" si="29">SUM(L7:L18)</f>
        <v>79452.66746737354</v>
      </c>
      <c r="M25" s="404">
        <f>SUM(M7:M18)</f>
        <v>77689.999999999985</v>
      </c>
      <c r="N25" s="393">
        <f>AVERAGE(N7:N18)</f>
        <v>10.594033171189624</v>
      </c>
      <c r="O25" s="394">
        <f>MAX(O7:O18)</f>
        <v>24.7</v>
      </c>
      <c r="P25" s="394">
        <f>MIN(P7:P18)</f>
        <v>-6.8</v>
      </c>
      <c r="Q25" s="410">
        <f>AVERAGE(Q7:Q18)</f>
        <v>8.7029783092324795</v>
      </c>
      <c r="R25" s="396">
        <f t="shared" si="6"/>
        <v>1.8910548619571443</v>
      </c>
      <c r="S25" s="394">
        <f t="shared" ref="S25:T25" si="30">SUM(S7:S18)</f>
        <v>417.33196475118979</v>
      </c>
      <c r="T25" s="394">
        <f t="shared" si="30"/>
        <v>4571.599111999999</v>
      </c>
      <c r="V25" s="68"/>
    </row>
    <row r="26" spans="1:22" ht="11.25" customHeight="1">
      <c r="A26" s="462" t="s">
        <v>306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</row>
    <row r="27" spans="1:22" ht="15" customHeight="1">
      <c r="A27" s="461" t="s">
        <v>236</v>
      </c>
      <c r="B27" s="461"/>
      <c r="C27" s="461"/>
      <c r="D27" s="461"/>
      <c r="E27" s="461"/>
      <c r="F27" s="461"/>
      <c r="G27" s="461"/>
      <c r="H27" s="461"/>
      <c r="I27" s="461"/>
      <c r="J27" s="461" t="s">
        <v>154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</row>
    <row r="28" spans="1:22" ht="8.1" customHeight="1">
      <c r="A28" s="61"/>
      <c r="B28" s="61"/>
      <c r="C28" s="61"/>
      <c r="D28" s="61"/>
      <c r="E28" s="61" t="s">
        <v>135</v>
      </c>
      <c r="F28" s="61" t="s">
        <v>130</v>
      </c>
      <c r="G28" s="61"/>
      <c r="H28" s="61"/>
      <c r="I28" s="61"/>
      <c r="J28" s="61"/>
      <c r="K28" s="61"/>
      <c r="L28" s="61"/>
      <c r="M28" s="61"/>
      <c r="N28" s="62" t="str">
        <f>N6</f>
        <v xml:space="preserve"> Průměr</v>
      </c>
      <c r="O28" s="62" t="str">
        <f>Q6</f>
        <v xml:space="preserve"> 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1044.1231458692557</v>
      </c>
      <c r="F29" s="62">
        <f>E7</f>
        <v>1108.1088840000853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0.45806774193548383</v>
      </c>
      <c r="O29" s="62">
        <f>Q7</f>
        <v>-1.1741935483870967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31">A8</f>
        <v>Únor</v>
      </c>
      <c r="E30" s="62">
        <f t="shared" ref="E30:E40" si="32">B8</f>
        <v>961.93776684198417</v>
      </c>
      <c r="F30" s="62">
        <f t="shared" ref="F30:F40" si="33">E8</f>
        <v>932.91698346401404</v>
      </c>
      <c r="G30" s="62"/>
      <c r="H30" s="62"/>
      <c r="I30" s="61"/>
      <c r="J30" s="61"/>
      <c r="K30" s="61"/>
      <c r="L30" s="61"/>
      <c r="M30" s="61" t="str">
        <f t="shared" ref="M30:M40" si="34">A8</f>
        <v>Únor</v>
      </c>
      <c r="N30" s="62">
        <f t="shared" ref="N30:N40" si="35">N8</f>
        <v>-0.79639285714285712</v>
      </c>
      <c r="O30" s="62">
        <f t="shared" ref="O30:O40" si="36">Q8</f>
        <v>0.26896551724137935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31"/>
        <v>Březen</v>
      </c>
      <c r="E31" s="62">
        <f t="shared" si="32"/>
        <v>750.99543483566788</v>
      </c>
      <c r="F31" s="62">
        <f t="shared" si="33"/>
        <v>810.13775562788601</v>
      </c>
      <c r="G31" s="62"/>
      <c r="H31" s="62"/>
      <c r="I31" s="61"/>
      <c r="J31" s="61"/>
      <c r="K31" s="61"/>
      <c r="L31" s="61"/>
      <c r="M31" s="61" t="str">
        <f t="shared" si="34"/>
        <v>Březen</v>
      </c>
      <c r="N31" s="62">
        <f t="shared" si="35"/>
        <v>5.258064516129032</v>
      </c>
      <c r="O31" s="62">
        <f t="shared" si="36"/>
        <v>3.4870967741935481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31"/>
        <v>Duben</v>
      </c>
      <c r="E32" s="62">
        <f t="shared" si="32"/>
        <v>502.89818413239283</v>
      </c>
      <c r="F32" s="62">
        <f t="shared" si="33"/>
        <v>557.38442108344702</v>
      </c>
      <c r="G32" s="62"/>
      <c r="H32" s="62"/>
      <c r="I32" s="61"/>
      <c r="J32" s="61"/>
      <c r="K32" s="61"/>
      <c r="L32" s="61"/>
      <c r="M32" s="61" t="str">
        <f t="shared" si="34"/>
        <v>Duben</v>
      </c>
      <c r="N32" s="62">
        <f t="shared" si="35"/>
        <v>10.493333333333334</v>
      </c>
      <c r="O32" s="62">
        <f t="shared" si="36"/>
        <v>8.6933333333333316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31"/>
        <v>Květen</v>
      </c>
      <c r="E33" s="62">
        <f t="shared" si="32"/>
        <v>414.64388831417494</v>
      </c>
      <c r="F33" s="62">
        <f t="shared" si="33"/>
        <v>381.56750196106975</v>
      </c>
      <c r="G33" s="62"/>
      <c r="H33" s="62"/>
      <c r="I33" s="61"/>
      <c r="J33" s="61"/>
      <c r="K33" s="61"/>
      <c r="L33" s="61"/>
      <c r="M33" s="61" t="str">
        <f t="shared" si="34"/>
        <v>Květen</v>
      </c>
      <c r="N33" s="62">
        <f t="shared" si="35"/>
        <v>11.441935483870969</v>
      </c>
      <c r="O33" s="62">
        <f t="shared" si="36"/>
        <v>13.409677419354839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31"/>
        <v>Červen</v>
      </c>
      <c r="E34" s="62">
        <f t="shared" si="32"/>
        <v>299.40920238396802</v>
      </c>
      <c r="F34" s="62">
        <f t="shared" si="33"/>
        <v>303.1602252985378</v>
      </c>
      <c r="G34" s="62"/>
      <c r="H34" s="62"/>
      <c r="I34" s="61"/>
      <c r="J34" s="61"/>
      <c r="K34" s="61"/>
      <c r="L34" s="61"/>
      <c r="M34" s="61" t="str">
        <f t="shared" si="34"/>
        <v>Červen</v>
      </c>
      <c r="N34" s="62">
        <f t="shared" si="35"/>
        <v>18.329999999999998</v>
      </c>
      <c r="O34" s="62">
        <f t="shared" si="36"/>
        <v>17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31"/>
        <v>Červenec</v>
      </c>
      <c r="E35" s="62">
        <f t="shared" si="32"/>
        <v>294.89504768843807</v>
      </c>
      <c r="F35" s="62">
        <f t="shared" si="33"/>
        <v>293.56246588155869</v>
      </c>
      <c r="G35" s="62"/>
      <c r="H35" s="62"/>
      <c r="I35" s="61"/>
      <c r="J35" s="61"/>
      <c r="K35" s="61"/>
      <c r="L35" s="61"/>
      <c r="M35" s="61" t="str">
        <f t="shared" si="34"/>
        <v>Červenec</v>
      </c>
      <c r="N35" s="62">
        <f t="shared" si="35"/>
        <v>18.161290322580648</v>
      </c>
      <c r="O35" s="62">
        <f t="shared" si="36"/>
        <v>18.674193548387095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31"/>
        <v>Srpen</v>
      </c>
      <c r="E36" s="62">
        <f t="shared" si="32"/>
        <v>268.41715528838796</v>
      </c>
      <c r="F36" s="62">
        <f t="shared" si="33"/>
        <v>267.8776735482196</v>
      </c>
      <c r="G36" s="62"/>
      <c r="H36" s="62"/>
      <c r="I36" s="61"/>
      <c r="J36" s="61"/>
      <c r="K36" s="61"/>
      <c r="L36" s="61"/>
      <c r="M36" s="61" t="str">
        <f t="shared" si="34"/>
        <v>Srpen</v>
      </c>
      <c r="N36" s="62">
        <f t="shared" si="35"/>
        <v>17.899999999999999</v>
      </c>
      <c r="O36" s="62">
        <f t="shared" si="36"/>
        <v>18.203225806451616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31"/>
        <v>Září</v>
      </c>
      <c r="E37" s="62">
        <f t="shared" si="32"/>
        <v>320.26533562107511</v>
      </c>
      <c r="F37" s="62">
        <f t="shared" si="33"/>
        <v>329.02307469110218</v>
      </c>
      <c r="G37" s="62"/>
      <c r="H37" s="62"/>
      <c r="I37" s="61"/>
      <c r="J37" s="61"/>
      <c r="K37" s="61"/>
      <c r="L37" s="61"/>
      <c r="M37" s="61" t="str">
        <f t="shared" si="34"/>
        <v>Září</v>
      </c>
      <c r="N37" s="62">
        <f t="shared" si="35"/>
        <v>14.100000000000001</v>
      </c>
      <c r="O37" s="62">
        <f t="shared" si="36"/>
        <v>13.360000000000001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31"/>
        <v>Říjen</v>
      </c>
      <c r="E38" s="62">
        <f t="shared" si="32"/>
        <v>0</v>
      </c>
      <c r="F38" s="62">
        <f t="shared" si="33"/>
        <v>0</v>
      </c>
      <c r="G38" s="62"/>
      <c r="H38" s="62"/>
      <c r="I38" s="61"/>
      <c r="J38" s="61"/>
      <c r="K38" s="61"/>
      <c r="L38" s="61"/>
      <c r="M38" s="61" t="str">
        <f t="shared" si="34"/>
        <v>Říjen</v>
      </c>
      <c r="N38" s="62">
        <f t="shared" si="35"/>
        <v>0</v>
      </c>
      <c r="O38" s="62">
        <f t="shared" si="36"/>
        <v>8.6774193548387117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31"/>
        <v>Listopad</v>
      </c>
      <c r="E39" s="62">
        <f t="shared" si="32"/>
        <v>0</v>
      </c>
      <c r="F39" s="62">
        <f t="shared" si="33"/>
        <v>0</v>
      </c>
      <c r="G39" s="61"/>
      <c r="H39" s="61"/>
      <c r="I39" s="61"/>
      <c r="J39" s="61"/>
      <c r="K39" s="61"/>
      <c r="L39" s="61"/>
      <c r="M39" s="61" t="str">
        <f t="shared" si="34"/>
        <v>Listopad</v>
      </c>
      <c r="N39" s="62">
        <f t="shared" si="35"/>
        <v>0</v>
      </c>
      <c r="O39" s="62">
        <f t="shared" si="36"/>
        <v>3.9166666666666656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32"/>
        <v>0</v>
      </c>
      <c r="F40" s="62">
        <f t="shared" si="33"/>
        <v>0</v>
      </c>
      <c r="G40" s="61"/>
      <c r="H40" s="61"/>
      <c r="I40" s="61"/>
      <c r="J40" s="61"/>
      <c r="K40" s="61"/>
      <c r="L40" s="61"/>
      <c r="M40" s="61" t="str">
        <f t="shared" si="34"/>
        <v>Prosinec</v>
      </c>
      <c r="N40" s="62">
        <f t="shared" si="35"/>
        <v>0</v>
      </c>
      <c r="O40" s="62">
        <f t="shared" si="36"/>
        <v>-8.0645161290322551E-2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T21 B23:T25 B22:M22 O22:T22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sqref="A1:U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50" t="s">
        <v>281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36" ht="6" customHeight="1">
      <c r="A2" s="236"/>
      <c r="B2" s="464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36" ht="18" customHeight="1">
      <c r="A3" s="247">
        <f>'3.1'!A4</f>
        <v>2025</v>
      </c>
      <c r="B3" s="456" t="s">
        <v>156</v>
      </c>
      <c r="C3" s="459"/>
      <c r="D3" s="459"/>
      <c r="E3" s="459"/>
      <c r="F3" s="459"/>
      <c r="G3" s="458"/>
      <c r="H3" s="459" t="s">
        <v>59</v>
      </c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</row>
    <row r="4" spans="1:36" ht="18" customHeight="1">
      <c r="A4" s="209"/>
      <c r="B4" s="244"/>
      <c r="C4" s="245"/>
      <c r="D4" s="245"/>
      <c r="E4" s="245"/>
      <c r="F4" s="245"/>
      <c r="G4" s="246"/>
      <c r="H4" s="248" t="s">
        <v>246</v>
      </c>
      <c r="I4" s="248"/>
      <c r="J4" s="248"/>
      <c r="K4" s="248"/>
      <c r="L4" s="248"/>
      <c r="M4" s="466" t="s">
        <v>252</v>
      </c>
      <c r="N4" s="248"/>
      <c r="O4" s="249" t="s">
        <v>206</v>
      </c>
      <c r="P4" s="248"/>
      <c r="Q4" s="248"/>
      <c r="R4" s="248"/>
      <c r="S4" s="248"/>
      <c r="T4" s="466" t="s">
        <v>252</v>
      </c>
      <c r="U4" s="248"/>
    </row>
    <row r="5" spans="1:36" ht="16.5" customHeight="1">
      <c r="A5" s="212"/>
      <c r="B5" s="230" t="s">
        <v>4</v>
      </c>
      <c r="C5" s="231" t="s">
        <v>5</v>
      </c>
      <c r="D5" s="193" t="s">
        <v>6</v>
      </c>
      <c r="E5" s="231" t="s">
        <v>7</v>
      </c>
      <c r="F5" s="231" t="s">
        <v>90</v>
      </c>
      <c r="G5" s="232" t="s">
        <v>0</v>
      </c>
      <c r="H5" s="231" t="s">
        <v>4</v>
      </c>
      <c r="I5" s="231" t="s">
        <v>5</v>
      </c>
      <c r="J5" s="193" t="s">
        <v>6</v>
      </c>
      <c r="K5" s="231" t="s">
        <v>7</v>
      </c>
      <c r="L5" s="231" t="s">
        <v>90</v>
      </c>
      <c r="M5" s="467"/>
      <c r="N5" s="231" t="s">
        <v>0</v>
      </c>
      <c r="O5" s="230" t="s">
        <v>4</v>
      </c>
      <c r="P5" s="231" t="s">
        <v>5</v>
      </c>
      <c r="Q5" s="193" t="s">
        <v>6</v>
      </c>
      <c r="R5" s="231" t="s">
        <v>7</v>
      </c>
      <c r="S5" s="231" t="s">
        <v>90</v>
      </c>
      <c r="T5" s="467"/>
      <c r="U5" s="231" t="s">
        <v>0</v>
      </c>
    </row>
    <row r="6" spans="1:36" ht="12.95" customHeight="1">
      <c r="A6" s="175" t="s">
        <v>157</v>
      </c>
      <c r="B6" s="239">
        <v>1509</v>
      </c>
      <c r="C6" s="234">
        <v>5999</v>
      </c>
      <c r="D6" s="235">
        <v>200968</v>
      </c>
      <c r="E6" s="235">
        <v>2516535</v>
      </c>
      <c r="F6" s="235">
        <v>286</v>
      </c>
      <c r="G6" s="241">
        <v>2725297</v>
      </c>
      <c r="H6" s="176">
        <v>391.76354163476702</v>
      </c>
      <c r="I6" s="176">
        <v>103.51508511723299</v>
      </c>
      <c r="J6" s="177">
        <v>183.30271688411497</v>
      </c>
      <c r="K6" s="177">
        <v>337.03055011973703</v>
      </c>
      <c r="L6" s="177">
        <v>7.7059741014680005</v>
      </c>
      <c r="M6" s="177">
        <v>20.805278011936</v>
      </c>
      <c r="N6" s="177">
        <v>1044.1231458692559</v>
      </c>
      <c r="O6" s="182">
        <v>4259.7651817100004</v>
      </c>
      <c r="P6" s="176">
        <v>1125.9267913579999</v>
      </c>
      <c r="Q6" s="177">
        <v>1993.476515212561</v>
      </c>
      <c r="R6" s="177">
        <v>3664.5796869734882</v>
      </c>
      <c r="S6" s="177">
        <v>83.772774212999991</v>
      </c>
      <c r="T6" s="177">
        <v>226.23825053800002</v>
      </c>
      <c r="U6" s="177">
        <v>11353.759200005048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5" t="s">
        <v>158</v>
      </c>
      <c r="B7" s="239">
        <v>1508</v>
      </c>
      <c r="C7" s="235">
        <v>5991</v>
      </c>
      <c r="D7" s="235">
        <v>200924</v>
      </c>
      <c r="E7" s="235">
        <v>2514044</v>
      </c>
      <c r="F7" s="235">
        <v>285</v>
      </c>
      <c r="G7" s="241">
        <v>2722752</v>
      </c>
      <c r="H7" s="176">
        <v>365.46712462880907</v>
      </c>
      <c r="I7" s="177">
        <v>96.139395248675982</v>
      </c>
      <c r="J7" s="177">
        <v>171.733782210443</v>
      </c>
      <c r="K7" s="177">
        <v>303.05332268221099</v>
      </c>
      <c r="L7" s="177">
        <v>7.1490807061480011</v>
      </c>
      <c r="M7" s="177">
        <v>18.395061365696996</v>
      </c>
      <c r="N7" s="177">
        <v>961.93776684198394</v>
      </c>
      <c r="O7" s="182">
        <v>3966.9411341880004</v>
      </c>
      <c r="P7" s="177">
        <v>1043.583162745</v>
      </c>
      <c r="Q7" s="177">
        <v>1863.7776674972054</v>
      </c>
      <c r="R7" s="177">
        <v>3288.1759236586063</v>
      </c>
      <c r="S7" s="177">
        <v>77.556347806000005</v>
      </c>
      <c r="T7" s="177">
        <v>199.59037809899999</v>
      </c>
      <c r="U7" s="177">
        <v>10439.62461399381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78" t="s">
        <v>159</v>
      </c>
      <c r="B8" s="240">
        <v>1502</v>
      </c>
      <c r="C8" s="238">
        <v>5614</v>
      </c>
      <c r="D8" s="238">
        <v>201321</v>
      </c>
      <c r="E8" s="238">
        <v>2511366</v>
      </c>
      <c r="F8" s="238">
        <v>286</v>
      </c>
      <c r="G8" s="242">
        <v>2720089</v>
      </c>
      <c r="H8" s="179">
        <v>327.31334059653</v>
      </c>
      <c r="I8" s="180">
        <v>70.041830430893</v>
      </c>
      <c r="J8" s="180">
        <v>120.962595327694</v>
      </c>
      <c r="K8" s="180">
        <v>209.34462062273496</v>
      </c>
      <c r="L8" s="180">
        <v>7.6331338803759996</v>
      </c>
      <c r="M8" s="180">
        <v>15.699913977439996</v>
      </c>
      <c r="N8" s="180">
        <v>750.99543483566799</v>
      </c>
      <c r="O8" s="183">
        <v>3570.2110122060003</v>
      </c>
      <c r="P8" s="180">
        <v>764.22981771700006</v>
      </c>
      <c r="Q8" s="180">
        <v>1319.5398433776741</v>
      </c>
      <c r="R8" s="180">
        <v>2283.1674802343946</v>
      </c>
      <c r="S8" s="180">
        <v>83.231702341000002</v>
      </c>
      <c r="T8" s="180">
        <v>171.22430429600001</v>
      </c>
      <c r="U8" s="180">
        <v>8191.6041601720681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5" t="s">
        <v>160</v>
      </c>
      <c r="B9" s="239">
        <v>1506</v>
      </c>
      <c r="C9" s="235">
        <v>5610</v>
      </c>
      <c r="D9" s="235">
        <v>201008</v>
      </c>
      <c r="E9" s="235">
        <v>2509091</v>
      </c>
      <c r="F9" s="235">
        <v>284</v>
      </c>
      <c r="G9" s="241">
        <v>2717499</v>
      </c>
      <c r="H9" s="176">
        <v>264.889162614935</v>
      </c>
      <c r="I9" s="177">
        <v>43.876915784455008</v>
      </c>
      <c r="J9" s="177">
        <v>63.484065045904991</v>
      </c>
      <c r="K9" s="177">
        <v>117.448305599075</v>
      </c>
      <c r="L9" s="177">
        <v>7.3702796530210009</v>
      </c>
      <c r="M9" s="177">
        <v>5.829455435002</v>
      </c>
      <c r="N9" s="177">
        <v>502.898184132393</v>
      </c>
      <c r="O9" s="182">
        <v>2901.6463966589999</v>
      </c>
      <c r="P9" s="177">
        <v>480.73360299199999</v>
      </c>
      <c r="Q9" s="177">
        <v>695.50811987560212</v>
      </c>
      <c r="R9" s="177">
        <v>1286.786131640393</v>
      </c>
      <c r="S9" s="177">
        <v>80.72473785699998</v>
      </c>
      <c r="T9" s="177">
        <v>63.918730587999981</v>
      </c>
      <c r="U9" s="177">
        <v>5509.3177196119941</v>
      </c>
      <c r="V9" s="58"/>
      <c r="W9" s="57"/>
      <c r="X9" s="57"/>
      <c r="Y9" s="57"/>
    </row>
    <row r="10" spans="1:36" ht="12.95" customHeight="1">
      <c r="A10" s="175" t="s">
        <v>161</v>
      </c>
      <c r="B10" s="239">
        <v>1509</v>
      </c>
      <c r="C10" s="235">
        <v>5610</v>
      </c>
      <c r="D10" s="235">
        <v>200934</v>
      </c>
      <c r="E10" s="235">
        <v>2506573</v>
      </c>
      <c r="F10" s="235">
        <v>284</v>
      </c>
      <c r="G10" s="241">
        <v>2714910</v>
      </c>
      <c r="H10" s="176">
        <v>242.47445133718594</v>
      </c>
      <c r="I10" s="177">
        <v>34.808455318248008</v>
      </c>
      <c r="J10" s="177">
        <v>45.289161839467994</v>
      </c>
      <c r="K10" s="177">
        <v>79.571398059336005</v>
      </c>
      <c r="L10" s="177">
        <v>7.5152330411259989</v>
      </c>
      <c r="M10" s="177">
        <v>4.9851887188109982</v>
      </c>
      <c r="N10" s="177">
        <v>414.64388831417494</v>
      </c>
      <c r="O10" s="182">
        <v>2661.1531833179997</v>
      </c>
      <c r="P10" s="177">
        <v>382.03736785900003</v>
      </c>
      <c r="Q10" s="177">
        <v>497.00942078172307</v>
      </c>
      <c r="R10" s="177">
        <v>873.34531663626899</v>
      </c>
      <c r="S10" s="177">
        <v>82.451927291000004</v>
      </c>
      <c r="T10" s="177">
        <v>54.735385220000019</v>
      </c>
      <c r="U10" s="177">
        <v>4550.7326011059922</v>
      </c>
      <c r="V10" s="58"/>
      <c r="W10" s="57"/>
      <c r="X10" s="57"/>
      <c r="Y10" s="57"/>
    </row>
    <row r="11" spans="1:36" ht="12.95" customHeight="1">
      <c r="A11" s="178" t="s">
        <v>162</v>
      </c>
      <c r="B11" s="240">
        <v>1511</v>
      </c>
      <c r="C11" s="238">
        <v>5600</v>
      </c>
      <c r="D11" s="238">
        <v>200918</v>
      </c>
      <c r="E11" s="238">
        <v>2504479</v>
      </c>
      <c r="F11" s="238">
        <v>284</v>
      </c>
      <c r="G11" s="242">
        <v>2712792</v>
      </c>
      <c r="H11" s="179">
        <v>218.38265041507199</v>
      </c>
      <c r="I11" s="180">
        <v>22.339670816557998</v>
      </c>
      <c r="J11" s="180">
        <v>16.516497264782004</v>
      </c>
      <c r="K11" s="180">
        <v>33.398036788603001</v>
      </c>
      <c r="L11" s="180">
        <v>7.5550412079470002</v>
      </c>
      <c r="M11" s="180">
        <v>1.2173058910059997</v>
      </c>
      <c r="N11" s="180">
        <v>299.40920238396802</v>
      </c>
      <c r="O11" s="183">
        <v>2391.7148387839998</v>
      </c>
      <c r="P11" s="180">
        <v>244.68159679500002</v>
      </c>
      <c r="Q11" s="180">
        <v>180.81819716489301</v>
      </c>
      <c r="R11" s="180">
        <v>365.80199205310799</v>
      </c>
      <c r="S11" s="180">
        <v>82.725484096000002</v>
      </c>
      <c r="T11" s="180">
        <v>13.369070580999981</v>
      </c>
      <c r="U11" s="180">
        <v>3279.1111794740004</v>
      </c>
      <c r="V11" s="58"/>
      <c r="W11" s="57"/>
      <c r="X11" s="57"/>
      <c r="Y11" s="57"/>
    </row>
    <row r="12" spans="1:36" ht="12.95" customHeight="1">
      <c r="A12" s="175" t="s">
        <v>163</v>
      </c>
      <c r="B12" s="239">
        <v>1509</v>
      </c>
      <c r="C12" s="235">
        <v>5602</v>
      </c>
      <c r="D12" s="235">
        <v>200893</v>
      </c>
      <c r="E12" s="235">
        <v>2501839</v>
      </c>
      <c r="F12" s="235">
        <v>285</v>
      </c>
      <c r="G12" s="241">
        <v>2710128</v>
      </c>
      <c r="H12" s="176">
        <v>221.06156981042</v>
      </c>
      <c r="I12" s="177">
        <v>20.997932877570999</v>
      </c>
      <c r="J12" s="177">
        <v>15.662708926367998</v>
      </c>
      <c r="K12" s="177">
        <v>29.690780156635004</v>
      </c>
      <c r="L12" s="177">
        <v>7.4845939932790007</v>
      </c>
      <c r="M12" s="177">
        <v>-2.5380758350001145E-3</v>
      </c>
      <c r="N12" s="177">
        <v>294.89504768843807</v>
      </c>
      <c r="O12" s="182">
        <v>2428.9992311159999</v>
      </c>
      <c r="P12" s="177">
        <v>230.64315123799997</v>
      </c>
      <c r="Q12" s="177">
        <v>171.95732167858199</v>
      </c>
      <c r="R12" s="177">
        <v>326.12079973042199</v>
      </c>
      <c r="S12" s="177">
        <v>82.181303216000003</v>
      </c>
      <c r="T12" s="177">
        <v>5.6396474999994554E-2</v>
      </c>
      <c r="U12" s="177">
        <v>3239.9582034540035</v>
      </c>
      <c r="V12" s="58"/>
      <c r="W12" s="57"/>
      <c r="X12" s="57"/>
      <c r="Y12" s="57"/>
    </row>
    <row r="13" spans="1:36" ht="12.95" customHeight="1">
      <c r="A13" s="175" t="s">
        <v>164</v>
      </c>
      <c r="B13" s="239">
        <v>1515</v>
      </c>
      <c r="C13" s="235">
        <v>5610</v>
      </c>
      <c r="D13" s="235">
        <v>200720</v>
      </c>
      <c r="E13" s="235">
        <v>2499759</v>
      </c>
      <c r="F13" s="235">
        <v>284</v>
      </c>
      <c r="G13" s="241">
        <v>2707888</v>
      </c>
      <c r="H13" s="176">
        <v>192.22303408797401</v>
      </c>
      <c r="I13" s="177">
        <v>21.489094322785999</v>
      </c>
      <c r="J13" s="177">
        <v>16.642271287891003</v>
      </c>
      <c r="K13" s="177">
        <v>31.043828375027999</v>
      </c>
      <c r="L13" s="177">
        <v>7.2537530815639997</v>
      </c>
      <c r="M13" s="177">
        <v>-0.23482586685499862</v>
      </c>
      <c r="N13" s="177">
        <v>268.41715528838802</v>
      </c>
      <c r="O13" s="182">
        <v>2118.4835175570001</v>
      </c>
      <c r="P13" s="177">
        <v>236.82320858900002</v>
      </c>
      <c r="Q13" s="177">
        <v>183.33293098937699</v>
      </c>
      <c r="R13" s="177">
        <v>342.11406212462003</v>
      </c>
      <c r="S13" s="177">
        <v>79.917726584999997</v>
      </c>
      <c r="T13" s="177">
        <v>-2.556942092000011</v>
      </c>
      <c r="U13" s="177">
        <v>2958.1145037529968</v>
      </c>
      <c r="V13" s="58"/>
      <c r="W13" s="57"/>
      <c r="X13" s="57"/>
      <c r="Y13" s="57"/>
    </row>
    <row r="14" spans="1:36" ht="12.95" customHeight="1">
      <c r="A14" s="178" t="s">
        <v>165</v>
      </c>
      <c r="B14" s="240">
        <v>1519</v>
      </c>
      <c r="C14" s="238">
        <v>5620</v>
      </c>
      <c r="D14" s="238">
        <v>200629</v>
      </c>
      <c r="E14" s="238">
        <v>2497949</v>
      </c>
      <c r="F14" s="238">
        <v>284</v>
      </c>
      <c r="G14" s="242">
        <v>2706001</v>
      </c>
      <c r="H14" s="179">
        <v>205.11094489568202</v>
      </c>
      <c r="I14" s="180">
        <v>29.724808644541</v>
      </c>
      <c r="J14" s="180">
        <v>27.034713598568999</v>
      </c>
      <c r="K14" s="180">
        <v>48.930214638123999</v>
      </c>
      <c r="L14" s="180">
        <v>7.5333297226090021</v>
      </c>
      <c r="M14" s="180">
        <v>1.9313241215499992</v>
      </c>
      <c r="N14" s="180">
        <v>320.265335621075</v>
      </c>
      <c r="O14" s="183">
        <v>2267.6878849949999</v>
      </c>
      <c r="P14" s="180">
        <v>328.70254694799996</v>
      </c>
      <c r="Q14" s="180">
        <v>298.93427716236596</v>
      </c>
      <c r="R14" s="180">
        <v>541.08551531464207</v>
      </c>
      <c r="S14" s="180">
        <v>83.274964650000001</v>
      </c>
      <c r="T14" s="180">
        <v>21.503873612999982</v>
      </c>
      <c r="U14" s="180">
        <v>3541.1890626830082</v>
      </c>
      <c r="V14" s="58"/>
      <c r="W14" s="57"/>
      <c r="X14" s="57"/>
      <c r="Y14" s="57"/>
    </row>
    <row r="15" spans="1:36" ht="12.95" customHeight="1">
      <c r="A15" s="175" t="s">
        <v>166</v>
      </c>
      <c r="B15" s="239"/>
      <c r="C15" s="235"/>
      <c r="D15" s="235"/>
      <c r="E15" s="235"/>
      <c r="F15" s="235"/>
      <c r="G15" s="241"/>
      <c r="H15" s="176"/>
      <c r="I15" s="177"/>
      <c r="J15" s="177"/>
      <c r="K15" s="177"/>
      <c r="L15" s="177"/>
      <c r="M15" s="177"/>
      <c r="N15" s="177"/>
      <c r="O15" s="182"/>
      <c r="P15" s="177"/>
      <c r="Q15" s="177"/>
      <c r="R15" s="177"/>
      <c r="S15" s="177"/>
      <c r="T15" s="177"/>
      <c r="U15" s="177"/>
      <c r="V15" s="58"/>
      <c r="W15" s="57"/>
      <c r="X15" s="57"/>
      <c r="Y15" s="57"/>
    </row>
    <row r="16" spans="1:36" ht="12.95" customHeight="1">
      <c r="A16" s="175" t="s">
        <v>167</v>
      </c>
      <c r="B16" s="239"/>
      <c r="C16" s="235"/>
      <c r="D16" s="235"/>
      <c r="E16" s="235"/>
      <c r="F16" s="235"/>
      <c r="G16" s="241"/>
      <c r="H16" s="176"/>
      <c r="I16" s="177"/>
      <c r="J16" s="177"/>
      <c r="K16" s="177"/>
      <c r="L16" s="177"/>
      <c r="M16" s="177"/>
      <c r="N16" s="177"/>
      <c r="O16" s="182"/>
      <c r="P16" s="177"/>
      <c r="Q16" s="177"/>
      <c r="R16" s="177"/>
      <c r="S16" s="177"/>
      <c r="T16" s="177"/>
      <c r="U16" s="177"/>
      <c r="V16" s="58"/>
      <c r="W16" s="57"/>
      <c r="X16" s="57"/>
      <c r="Y16" s="57"/>
    </row>
    <row r="17" spans="1:25" ht="12.95" customHeight="1">
      <c r="A17" s="178" t="s">
        <v>168</v>
      </c>
      <c r="B17" s="240"/>
      <c r="C17" s="238"/>
      <c r="D17" s="238"/>
      <c r="E17" s="238"/>
      <c r="F17" s="238"/>
      <c r="G17" s="242"/>
      <c r="H17" s="179"/>
      <c r="I17" s="180"/>
      <c r="J17" s="180"/>
      <c r="K17" s="180"/>
      <c r="L17" s="180"/>
      <c r="M17" s="180"/>
      <c r="N17" s="180"/>
      <c r="O17" s="183"/>
      <c r="P17" s="180"/>
      <c r="Q17" s="180"/>
      <c r="R17" s="180"/>
      <c r="S17" s="180"/>
      <c r="T17" s="180"/>
      <c r="U17" s="180"/>
      <c r="V17" s="58"/>
      <c r="W17" s="57"/>
      <c r="X17" s="57"/>
      <c r="Y17" s="57"/>
    </row>
    <row r="18" spans="1:25" ht="12.95" customHeight="1">
      <c r="A18" s="175" t="s">
        <v>47</v>
      </c>
      <c r="B18" s="239">
        <f>B8</f>
        <v>1502</v>
      </c>
      <c r="C18" s="234">
        <f t="shared" ref="C18:E18" si="0">C8</f>
        <v>5614</v>
      </c>
      <c r="D18" s="234">
        <f t="shared" si="0"/>
        <v>201321</v>
      </c>
      <c r="E18" s="234">
        <f t="shared" si="0"/>
        <v>2511366</v>
      </c>
      <c r="F18" s="234">
        <f t="shared" ref="F18" si="1">F8</f>
        <v>286</v>
      </c>
      <c r="G18" s="243">
        <f>G8</f>
        <v>2720089</v>
      </c>
      <c r="H18" s="176">
        <f>SUM(H6:H8)</f>
        <v>1084.544006860106</v>
      </c>
      <c r="I18" s="176">
        <f>SUM(I6:I8)</f>
        <v>269.69631079680198</v>
      </c>
      <c r="J18" s="176">
        <f t="shared" ref="J18:K18" si="2">SUM(J6:J8)</f>
        <v>475.99909442225191</v>
      </c>
      <c r="K18" s="176">
        <f t="shared" si="2"/>
        <v>849.42849342468298</v>
      </c>
      <c r="L18" s="176">
        <f t="shared" ref="L18" si="3">SUM(L6:L8)</f>
        <v>22.488188687992</v>
      </c>
      <c r="M18" s="176">
        <f t="shared" ref="M18" si="4">SUM(M6:M8)</f>
        <v>54.900253355072998</v>
      </c>
      <c r="N18" s="176">
        <f>SUM(N6:N8)</f>
        <v>2757.056347546908</v>
      </c>
      <c r="O18" s="182">
        <f>SUM(O6:O8)</f>
        <v>11796.917328104002</v>
      </c>
      <c r="P18" s="176">
        <f>SUM(P6:P8)</f>
        <v>2933.73977182</v>
      </c>
      <c r="Q18" s="176">
        <f t="shared" ref="Q18:U18" si="5">SUM(Q6:Q8)</f>
        <v>5176.7940260874402</v>
      </c>
      <c r="R18" s="176">
        <f t="shared" si="5"/>
        <v>9235.9230908664886</v>
      </c>
      <c r="S18" s="176">
        <f t="shared" ref="S18" si="6">SUM(S6:S8)</f>
        <v>244.56082436000003</v>
      </c>
      <c r="T18" s="176">
        <f t="shared" ref="T18" si="7">SUM(T6:T8)</f>
        <v>597.05293293299997</v>
      </c>
      <c r="U18" s="176">
        <f t="shared" si="5"/>
        <v>29984.987974170926</v>
      </c>
    </row>
    <row r="19" spans="1:25" ht="12.95" customHeight="1">
      <c r="A19" s="175" t="s">
        <v>55</v>
      </c>
      <c r="B19" s="239">
        <f>B11</f>
        <v>1511</v>
      </c>
      <c r="C19" s="234">
        <f t="shared" ref="C19:G19" si="8">C11</f>
        <v>5600</v>
      </c>
      <c r="D19" s="234">
        <f t="shared" si="8"/>
        <v>200918</v>
      </c>
      <c r="E19" s="234">
        <f t="shared" si="8"/>
        <v>2504479</v>
      </c>
      <c r="F19" s="234">
        <f t="shared" ref="F19" si="9">F11</f>
        <v>284</v>
      </c>
      <c r="G19" s="243">
        <f t="shared" si="8"/>
        <v>2712792</v>
      </c>
      <c r="H19" s="176">
        <f>SUM(H9:H11)</f>
        <v>725.74626436719291</v>
      </c>
      <c r="I19" s="176">
        <f>SUM(I9:I11)</f>
        <v>101.02504191926101</v>
      </c>
      <c r="J19" s="176">
        <f t="shared" ref="J19:N19" si="10">SUM(J9:J11)</f>
        <v>125.289724150155</v>
      </c>
      <c r="K19" s="176">
        <f t="shared" si="10"/>
        <v>230.41774044701401</v>
      </c>
      <c r="L19" s="176">
        <f t="shared" ref="L19" si="11">SUM(L9:L11)</f>
        <v>22.440553902093999</v>
      </c>
      <c r="M19" s="176">
        <f t="shared" ref="M19" si="12">SUM(M9:M11)</f>
        <v>12.031950044818998</v>
      </c>
      <c r="N19" s="176">
        <f t="shared" si="10"/>
        <v>1216.951274830536</v>
      </c>
      <c r="O19" s="182">
        <f>SUM(O9:O11)</f>
        <v>7954.5144187609994</v>
      </c>
      <c r="P19" s="176">
        <f>SUM(P9:P11)</f>
        <v>1107.452567646</v>
      </c>
      <c r="Q19" s="176">
        <f t="shared" ref="Q19:U19" si="13">SUM(Q9:Q11)</f>
        <v>1373.3357378222183</v>
      </c>
      <c r="R19" s="176">
        <f t="shared" si="13"/>
        <v>2525.9334403297698</v>
      </c>
      <c r="S19" s="176">
        <f t="shared" ref="S19" si="14">SUM(S9:S11)</f>
        <v>245.90214924399999</v>
      </c>
      <c r="T19" s="176">
        <f t="shared" ref="T19" si="15">SUM(T9:T11)</f>
        <v>132.02318638899999</v>
      </c>
      <c r="U19" s="176">
        <f t="shared" si="13"/>
        <v>13339.161500191987</v>
      </c>
    </row>
    <row r="20" spans="1:25" ht="12.95" customHeight="1">
      <c r="A20" s="175" t="s">
        <v>62</v>
      </c>
      <c r="B20" s="239">
        <f>B14</f>
        <v>1519</v>
      </c>
      <c r="C20" s="234">
        <f t="shared" ref="C20:G20" si="16">C14</f>
        <v>5620</v>
      </c>
      <c r="D20" s="234">
        <f t="shared" si="16"/>
        <v>200629</v>
      </c>
      <c r="E20" s="234">
        <f t="shared" si="16"/>
        <v>2497949</v>
      </c>
      <c r="F20" s="234">
        <f t="shared" ref="F20" si="17">F14</f>
        <v>284</v>
      </c>
      <c r="G20" s="243">
        <f t="shared" si="16"/>
        <v>2706001</v>
      </c>
      <c r="H20" s="176">
        <f>SUM(H12:H14)</f>
        <v>618.39554879407603</v>
      </c>
      <c r="I20" s="176">
        <f>SUM(I12:I14)</f>
        <v>72.21183584489799</v>
      </c>
      <c r="J20" s="176">
        <f t="shared" ref="J20:N20" si="18">SUM(J12:J14)</f>
        <v>59.339693812828003</v>
      </c>
      <c r="K20" s="176">
        <f t="shared" si="18"/>
        <v>109.664823169787</v>
      </c>
      <c r="L20" s="176">
        <f t="shared" ref="L20" si="19">SUM(L12:L14)</f>
        <v>22.271676797452002</v>
      </c>
      <c r="M20" s="176">
        <f t="shared" ref="M20" si="20">SUM(M12:M14)</f>
        <v>1.6939601788600005</v>
      </c>
      <c r="N20" s="176">
        <f t="shared" si="18"/>
        <v>883.57753859790103</v>
      </c>
      <c r="O20" s="182">
        <f>SUM(O12:O14)</f>
        <v>6815.1706336679999</v>
      </c>
      <c r="P20" s="176">
        <f>SUM(P12:P14)</f>
        <v>796.16890677499998</v>
      </c>
      <c r="Q20" s="176">
        <f t="shared" ref="Q20:U20" si="21">SUM(Q12:Q14)</f>
        <v>654.22452983032485</v>
      </c>
      <c r="R20" s="176">
        <f t="shared" si="21"/>
        <v>1209.320377169684</v>
      </c>
      <c r="S20" s="176">
        <f t="shared" ref="S20" si="22">SUM(S12:S14)</f>
        <v>245.37399445099999</v>
      </c>
      <c r="T20" s="176">
        <f t="shared" ref="T20" si="23">SUM(T12:T14)</f>
        <v>19.003327995999964</v>
      </c>
      <c r="U20" s="176">
        <f t="shared" si="21"/>
        <v>9739.2617698900085</v>
      </c>
    </row>
    <row r="21" spans="1:25" ht="12.95" customHeight="1">
      <c r="A21" s="178" t="s">
        <v>56</v>
      </c>
      <c r="B21" s="397">
        <f>B17</f>
        <v>0</v>
      </c>
      <c r="C21" s="398">
        <f t="shared" ref="C21:E21" si="24">C17</f>
        <v>0</v>
      </c>
      <c r="D21" s="398">
        <f t="shared" si="24"/>
        <v>0</v>
      </c>
      <c r="E21" s="398">
        <f t="shared" si="24"/>
        <v>0</v>
      </c>
      <c r="F21" s="398">
        <f t="shared" ref="F21" si="25">F17</f>
        <v>0</v>
      </c>
      <c r="G21" s="399">
        <f>G17</f>
        <v>0</v>
      </c>
      <c r="H21" s="384">
        <f>SUM(H15:H17)</f>
        <v>0</v>
      </c>
      <c r="I21" s="384">
        <f>SUM(I15:I17)</f>
        <v>0</v>
      </c>
      <c r="J21" s="384">
        <f t="shared" ref="J21:N21" si="26">SUM(J15:J17)</f>
        <v>0</v>
      </c>
      <c r="K21" s="384">
        <f t="shared" si="26"/>
        <v>0</v>
      </c>
      <c r="L21" s="384">
        <f t="shared" ref="L21" si="27">SUM(L15:L17)</f>
        <v>0</v>
      </c>
      <c r="M21" s="384">
        <f t="shared" ref="M21" si="28">SUM(M15:M17)</f>
        <v>0</v>
      </c>
      <c r="N21" s="384">
        <f t="shared" si="26"/>
        <v>0</v>
      </c>
      <c r="O21" s="383">
        <f>SUM(O15:O17)</f>
        <v>0</v>
      </c>
      <c r="P21" s="384">
        <f>SUM(P15:P17)</f>
        <v>0</v>
      </c>
      <c r="Q21" s="384">
        <f t="shared" ref="Q21:U21" si="29">SUM(Q15:Q17)</f>
        <v>0</v>
      </c>
      <c r="R21" s="384">
        <f t="shared" si="29"/>
        <v>0</v>
      </c>
      <c r="S21" s="384">
        <f t="shared" ref="S21" si="30">SUM(S15:S17)</f>
        <v>0</v>
      </c>
      <c r="T21" s="384">
        <f t="shared" ref="T21" si="31">SUM(T15:T17)</f>
        <v>0</v>
      </c>
      <c r="U21" s="384">
        <f t="shared" si="29"/>
        <v>0</v>
      </c>
    </row>
    <row r="22" spans="1:25" ht="12.95" customHeight="1">
      <c r="A22" s="175" t="s">
        <v>57</v>
      </c>
      <c r="B22" s="239">
        <f>B11</f>
        <v>1511</v>
      </c>
      <c r="C22" s="234">
        <f t="shared" ref="C22:G22" si="32">C11</f>
        <v>5600</v>
      </c>
      <c r="D22" s="234">
        <f t="shared" si="32"/>
        <v>200918</v>
      </c>
      <c r="E22" s="234">
        <f t="shared" si="32"/>
        <v>2504479</v>
      </c>
      <c r="F22" s="234">
        <f t="shared" ref="F22" si="33">F11</f>
        <v>284</v>
      </c>
      <c r="G22" s="243">
        <f t="shared" si="32"/>
        <v>2712792</v>
      </c>
      <c r="H22" s="176">
        <f>SUM(H6:H11)</f>
        <v>1810.2902712272989</v>
      </c>
      <c r="I22" s="176">
        <f>SUM(I6:I11)</f>
        <v>370.721352716063</v>
      </c>
      <c r="J22" s="176">
        <f t="shared" ref="J22:N22" si="34">SUM(J6:J11)</f>
        <v>601.28881857240685</v>
      </c>
      <c r="K22" s="176">
        <f t="shared" si="34"/>
        <v>1079.8462338716968</v>
      </c>
      <c r="L22" s="176">
        <f t="shared" ref="L22" si="35">SUM(L6:L11)</f>
        <v>44.928742590086003</v>
      </c>
      <c r="M22" s="176">
        <f t="shared" ref="M22" si="36">SUM(M6:M11)</f>
        <v>66.932203399892003</v>
      </c>
      <c r="N22" s="176">
        <f t="shared" si="34"/>
        <v>3974.007622377444</v>
      </c>
      <c r="O22" s="182">
        <f>SUM(O6:O11)</f>
        <v>19751.431746865001</v>
      </c>
      <c r="P22" s="176">
        <f>SUM(P6:P11)</f>
        <v>4041.1923394659998</v>
      </c>
      <c r="Q22" s="176">
        <f t="shared" ref="Q22:U22" si="37">SUM(Q6:Q11)</f>
        <v>6550.1297639096583</v>
      </c>
      <c r="R22" s="176">
        <f t="shared" si="37"/>
        <v>11761.856531196257</v>
      </c>
      <c r="S22" s="176">
        <f t="shared" ref="S22" si="38">SUM(S6:S11)</f>
        <v>490.46297360400001</v>
      </c>
      <c r="T22" s="176">
        <f t="shared" ref="T22" si="39">SUM(T6:T11)</f>
        <v>729.07611932199995</v>
      </c>
      <c r="U22" s="176">
        <f t="shared" si="37"/>
        <v>43324.149474362915</v>
      </c>
    </row>
    <row r="23" spans="1:25" ht="12.95" customHeight="1">
      <c r="A23" s="178" t="s">
        <v>58</v>
      </c>
      <c r="B23" s="397">
        <f>B17</f>
        <v>0</v>
      </c>
      <c r="C23" s="398">
        <f t="shared" ref="C23:G23" si="40">C17</f>
        <v>0</v>
      </c>
      <c r="D23" s="398">
        <f t="shared" si="40"/>
        <v>0</v>
      </c>
      <c r="E23" s="398">
        <f t="shared" si="40"/>
        <v>0</v>
      </c>
      <c r="F23" s="398">
        <f t="shared" ref="F23" si="41">F17</f>
        <v>0</v>
      </c>
      <c r="G23" s="399">
        <f t="shared" si="40"/>
        <v>0</v>
      </c>
      <c r="H23" s="384">
        <f>SUM(H12:H17)</f>
        <v>618.39554879407603</v>
      </c>
      <c r="I23" s="384">
        <f>SUM(I12:I17)</f>
        <v>72.21183584489799</v>
      </c>
      <c r="J23" s="384">
        <f t="shared" ref="J23:N23" si="42">SUM(J12:J17)</f>
        <v>59.339693812828003</v>
      </c>
      <c r="K23" s="384">
        <f t="shared" si="42"/>
        <v>109.664823169787</v>
      </c>
      <c r="L23" s="384">
        <f t="shared" ref="L23" si="43">SUM(L12:L17)</f>
        <v>22.271676797452002</v>
      </c>
      <c r="M23" s="384">
        <f t="shared" ref="M23" si="44">SUM(M12:M17)</f>
        <v>1.6939601788600005</v>
      </c>
      <c r="N23" s="384">
        <f t="shared" si="42"/>
        <v>883.57753859790103</v>
      </c>
      <c r="O23" s="383">
        <f>SUM(O12:O17)</f>
        <v>6815.1706336679999</v>
      </c>
      <c r="P23" s="384">
        <f>SUM(P12:P17)</f>
        <v>796.16890677499998</v>
      </c>
      <c r="Q23" s="384">
        <f t="shared" ref="Q23:U23" si="45">SUM(Q12:Q17)</f>
        <v>654.22452983032485</v>
      </c>
      <c r="R23" s="384">
        <f t="shared" si="45"/>
        <v>1209.320377169684</v>
      </c>
      <c r="S23" s="384">
        <f t="shared" ref="S23" si="46">SUM(S12:S17)</f>
        <v>245.37399445099999</v>
      </c>
      <c r="T23" s="384">
        <f t="shared" ref="T23" si="47">SUM(T12:T17)</f>
        <v>19.003327995999964</v>
      </c>
      <c r="U23" s="384">
        <f t="shared" si="45"/>
        <v>9739.2617698900085</v>
      </c>
    </row>
    <row r="24" spans="1:25" ht="12.95" customHeight="1">
      <c r="A24" s="178" t="s">
        <v>169</v>
      </c>
      <c r="B24" s="397">
        <f>B17</f>
        <v>0</v>
      </c>
      <c r="C24" s="398">
        <f t="shared" ref="C24:G24" si="48">C17</f>
        <v>0</v>
      </c>
      <c r="D24" s="398">
        <f t="shared" si="48"/>
        <v>0</v>
      </c>
      <c r="E24" s="398">
        <f t="shared" si="48"/>
        <v>0</v>
      </c>
      <c r="F24" s="398">
        <f t="shared" ref="F24" si="49">F17</f>
        <v>0</v>
      </c>
      <c r="G24" s="399">
        <f t="shared" si="48"/>
        <v>0</v>
      </c>
      <c r="H24" s="384">
        <f>SUM(H6:H17)</f>
        <v>2428.6858200213751</v>
      </c>
      <c r="I24" s="384">
        <f>SUM(I6:I17)</f>
        <v>442.93318856096096</v>
      </c>
      <c r="J24" s="384">
        <f t="shared" ref="J24:N24" si="50">SUM(J6:J17)</f>
        <v>660.6285123852349</v>
      </c>
      <c r="K24" s="384">
        <f t="shared" si="50"/>
        <v>1189.5110570414836</v>
      </c>
      <c r="L24" s="384">
        <f t="shared" ref="L24" si="51">SUM(L6:L17)</f>
        <v>67.200419387538005</v>
      </c>
      <c r="M24" s="384">
        <f t="shared" ref="M24" si="52">SUM(M6:M17)</f>
        <v>68.626163578751999</v>
      </c>
      <c r="N24" s="384">
        <f t="shared" si="50"/>
        <v>4857.5851609753454</v>
      </c>
      <c r="O24" s="383">
        <f>SUM(O6:O17)</f>
        <v>26566.602380533001</v>
      </c>
      <c r="P24" s="384">
        <f>SUM(P6:P17)</f>
        <v>4837.3612462410001</v>
      </c>
      <c r="Q24" s="384">
        <f t="shared" ref="Q24:U24" si="53">SUM(Q6:Q17)</f>
        <v>7204.3542937399834</v>
      </c>
      <c r="R24" s="384">
        <f t="shared" si="53"/>
        <v>12971.176908365942</v>
      </c>
      <c r="S24" s="384">
        <f t="shared" ref="S24" si="54">SUM(S6:S17)</f>
        <v>735.83696805499994</v>
      </c>
      <c r="T24" s="384">
        <f t="shared" ref="T24" si="55">SUM(T6:T17)</f>
        <v>748.07944731800001</v>
      </c>
      <c r="U24" s="384">
        <f t="shared" si="53"/>
        <v>53063.411244252922</v>
      </c>
    </row>
    <row r="25" spans="1:25" ht="15" customHeight="1"/>
    <row r="26" spans="1:25" ht="26.1" customHeight="1">
      <c r="A26" s="447" t="s">
        <v>295</v>
      </c>
      <c r="B26" s="447"/>
      <c r="C26" s="447"/>
      <c r="D26" s="447"/>
      <c r="E26" s="447"/>
      <c r="F26" s="447"/>
      <c r="G26" s="447"/>
      <c r="H26" s="447"/>
      <c r="I26" s="447" t="s">
        <v>240</v>
      </c>
      <c r="J26" s="447"/>
      <c r="K26" s="447"/>
      <c r="L26" s="447"/>
      <c r="M26" s="447"/>
      <c r="N26" s="118"/>
      <c r="O26" s="118"/>
      <c r="P26" s="447" t="s">
        <v>241</v>
      </c>
      <c r="Q26" s="461"/>
      <c r="R26" s="461"/>
      <c r="S26" s="461"/>
      <c r="T26" s="461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67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1502</v>
      </c>
      <c r="C28" s="74">
        <f>C18</f>
        <v>5614</v>
      </c>
      <c r="D28" s="74">
        <f>D18</f>
        <v>201321</v>
      </c>
      <c r="E28" s="74">
        <f>E18</f>
        <v>2511366</v>
      </c>
      <c r="F28" s="74">
        <f>F18</f>
        <v>286</v>
      </c>
      <c r="G28" s="368"/>
      <c r="H28" s="73" t="str">
        <f>A18</f>
        <v>I. čtvrtletí</v>
      </c>
      <c r="I28" s="75">
        <f>H18</f>
        <v>1084.544006860106</v>
      </c>
      <c r="J28" s="75">
        <f t="shared" ref="J28:M28" si="60">I18</f>
        <v>269.69631079680198</v>
      </c>
      <c r="K28" s="75">
        <f t="shared" si="60"/>
        <v>475.99909442225191</v>
      </c>
      <c r="L28" s="75">
        <f t="shared" si="60"/>
        <v>849.42849342468298</v>
      </c>
      <c r="M28" s="75">
        <f t="shared" si="60"/>
        <v>22.488188687992</v>
      </c>
      <c r="N28" s="61"/>
      <c r="O28" s="72" t="str">
        <f>A18</f>
        <v>I. čtvrtletí</v>
      </c>
      <c r="P28" s="74">
        <f>O18</f>
        <v>11796.917328104002</v>
      </c>
      <c r="Q28" s="74">
        <f t="shared" ref="Q28:T28" si="61">P18</f>
        <v>2933.73977182</v>
      </c>
      <c r="R28" s="74">
        <f t="shared" si="61"/>
        <v>5176.7940260874402</v>
      </c>
      <c r="S28" s="74">
        <f t="shared" si="61"/>
        <v>9235.9230908664886</v>
      </c>
      <c r="T28" s="74">
        <f t="shared" si="61"/>
        <v>244.56082436000003</v>
      </c>
      <c r="U28" s="63"/>
    </row>
    <row r="29" spans="1:25" ht="12" customHeight="1">
      <c r="B29" s="379"/>
      <c r="C29" s="379"/>
      <c r="D29" s="379"/>
      <c r="E29" s="368"/>
      <c r="F29" s="368"/>
      <c r="G29" s="368"/>
      <c r="H29" s="73" t="str">
        <f t="shared" ref="H29:H31" si="62">A19</f>
        <v>II. čtvrtletí</v>
      </c>
      <c r="I29" s="75">
        <f t="shared" ref="I29:M29" si="63">H19</f>
        <v>725.74626436719291</v>
      </c>
      <c r="J29" s="75">
        <f t="shared" si="63"/>
        <v>101.02504191926101</v>
      </c>
      <c r="K29" s="75">
        <f t="shared" si="63"/>
        <v>125.289724150155</v>
      </c>
      <c r="L29" s="75">
        <f t="shared" si="63"/>
        <v>230.41774044701401</v>
      </c>
      <c r="M29" s="75">
        <f t="shared" si="63"/>
        <v>22.440553902093999</v>
      </c>
      <c r="N29" s="61"/>
      <c r="O29" s="72" t="str">
        <f t="shared" ref="O29:O31" si="64">A19</f>
        <v>II. čtvrtletí</v>
      </c>
      <c r="P29" s="74">
        <f t="shared" ref="P29:T29" si="65">O19</f>
        <v>7954.5144187609994</v>
      </c>
      <c r="Q29" s="74">
        <f t="shared" si="65"/>
        <v>1107.452567646</v>
      </c>
      <c r="R29" s="74">
        <f t="shared" si="65"/>
        <v>1373.3357378222183</v>
      </c>
      <c r="S29" s="74">
        <f t="shared" si="65"/>
        <v>2525.9334403297698</v>
      </c>
      <c r="T29" s="74">
        <f t="shared" si="65"/>
        <v>245.90214924399999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618.39554879407603</v>
      </c>
      <c r="J30" s="75">
        <f t="shared" si="66"/>
        <v>72.21183584489799</v>
      </c>
      <c r="K30" s="75">
        <f t="shared" si="66"/>
        <v>59.339693812828003</v>
      </c>
      <c r="L30" s="75">
        <f t="shared" si="66"/>
        <v>109.664823169787</v>
      </c>
      <c r="M30" s="75">
        <f t="shared" si="66"/>
        <v>22.271676797452002</v>
      </c>
      <c r="N30" s="61"/>
      <c r="O30" s="72" t="str">
        <f t="shared" si="64"/>
        <v>III. čtvrtletí</v>
      </c>
      <c r="P30" s="74">
        <f t="shared" ref="P30:T30" si="67">O20</f>
        <v>6815.1706336679999</v>
      </c>
      <c r="Q30" s="74">
        <f t="shared" si="67"/>
        <v>796.16890677499998</v>
      </c>
      <c r="R30" s="74">
        <f t="shared" si="67"/>
        <v>654.22452983032485</v>
      </c>
      <c r="S30" s="74">
        <f t="shared" si="67"/>
        <v>1209.320377169684</v>
      </c>
      <c r="T30" s="74">
        <f t="shared" si="67"/>
        <v>245.37399445099999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63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63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1:U23 H19:I19 J19:U19 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2025-11-05T14:16:31Z</cp:lastPrinted>
  <dcterms:created xsi:type="dcterms:W3CDTF">2010-02-15T08:19:53Z</dcterms:created>
  <dcterms:modified xsi:type="dcterms:W3CDTF">2025-11-11T12:40:02Z</dcterms:modified>
</cp:coreProperties>
</file>