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6\"/>
    </mc:Choice>
  </mc:AlternateContent>
  <xr:revisionPtr revIDLastSave="0" documentId="13_ncr:1_{4A2A61B2-9E45-4A55-863C-FBD1A41D0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ulní" sheetId="182" r:id="rId1"/>
    <sheet name="Obsah" sheetId="170" r:id="rId2"/>
    <sheet name="Úvod" sheetId="171" r:id="rId3"/>
    <sheet name="1" sheetId="172" r:id="rId4"/>
    <sheet name="2" sheetId="179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Datum_OTE" localSheetId="0">"30. 4. 2026"</definedName>
    <definedName name="Datum_OTE">"2. 5. 2017"</definedName>
    <definedName name="_xlnm.Print_Area" localSheetId="4">'2'!$A$1:$I$49</definedName>
    <definedName name="_xlnm.Print_Area" localSheetId="10">'5.1'!$A$1:$K$53</definedName>
    <definedName name="_xlnm.Print_Area" localSheetId="0">Titulní!$A$1:$B$11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'2'!#REF!</definedName>
    <definedName name="OLE_LINK6" localSheetId="2">Úvod!$A$7</definedName>
    <definedName name="OLE_LINK7" localSheetId="4">'2'!#REF!</definedName>
    <definedName name="OLE_LINK7" localSheetId="2">Úvod!$A$7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" i="146" l="1"/>
  <c r="M9" i="116"/>
  <c r="N9" i="116"/>
  <c r="O9" i="116"/>
  <c r="R9" i="116"/>
  <c r="S9" i="116"/>
  <c r="M10" i="116"/>
  <c r="N10" i="116"/>
  <c r="O10" i="116"/>
  <c r="R10" i="116"/>
  <c r="S10" i="116"/>
  <c r="M11" i="116"/>
  <c r="N11" i="116"/>
  <c r="O11" i="116"/>
  <c r="R11" i="116"/>
  <c r="S11" i="116"/>
  <c r="M12" i="116"/>
  <c r="N12" i="116"/>
  <c r="O12" i="116"/>
  <c r="R12" i="116"/>
  <c r="S12" i="116"/>
  <c r="M13" i="116"/>
  <c r="N13" i="116"/>
  <c r="O13" i="116"/>
  <c r="R13" i="116"/>
  <c r="S13" i="116"/>
  <c r="M14" i="116"/>
  <c r="N14" i="116"/>
  <c r="O14" i="116"/>
  <c r="R14" i="116"/>
  <c r="S14" i="116"/>
  <c r="M15" i="116"/>
  <c r="N15" i="116"/>
  <c r="O15" i="116"/>
  <c r="R15" i="116"/>
  <c r="S15" i="116"/>
  <c r="M16" i="116"/>
  <c r="N16" i="116"/>
  <c r="O16" i="116"/>
  <c r="R16" i="116"/>
  <c r="S16" i="116"/>
  <c r="M17" i="116"/>
  <c r="N17" i="116"/>
  <c r="O17" i="116"/>
  <c r="R17" i="116"/>
  <c r="S17" i="116"/>
  <c r="M18" i="116"/>
  <c r="N18" i="116"/>
  <c r="O18" i="116"/>
  <c r="R18" i="116"/>
  <c r="S18" i="116"/>
  <c r="M19" i="116"/>
  <c r="N19" i="116"/>
  <c r="O19" i="116"/>
  <c r="R19" i="116"/>
  <c r="S19" i="116"/>
  <c r="M20" i="116"/>
  <c r="N20" i="116"/>
  <c r="O20" i="116"/>
  <c r="R20" i="116"/>
  <c r="S20" i="116"/>
  <c r="M21" i="116"/>
  <c r="N21" i="116"/>
  <c r="O21" i="116"/>
  <c r="R21" i="116"/>
  <c r="S21" i="116"/>
  <c r="M22" i="116"/>
  <c r="N22" i="116"/>
  <c r="O22" i="116"/>
  <c r="R22" i="116"/>
  <c r="S22" i="116"/>
  <c r="M23" i="116"/>
  <c r="N23" i="116"/>
  <c r="O23" i="116"/>
  <c r="R23" i="116"/>
  <c r="S23" i="116"/>
  <c r="M24" i="116"/>
  <c r="N24" i="116"/>
  <c r="O24" i="116"/>
  <c r="R24" i="116"/>
  <c r="S24" i="116"/>
  <c r="M25" i="116"/>
  <c r="N25" i="116"/>
  <c r="O25" i="116"/>
  <c r="R25" i="116"/>
  <c r="S25" i="116"/>
  <c r="M26" i="116"/>
  <c r="N26" i="116"/>
  <c r="O26" i="116"/>
  <c r="R26" i="116"/>
  <c r="S26" i="116"/>
  <c r="M27" i="116"/>
  <c r="N27" i="116"/>
  <c r="O27" i="116"/>
  <c r="R27" i="116"/>
  <c r="S27" i="116"/>
  <c r="M28" i="116"/>
  <c r="N28" i="116"/>
  <c r="O28" i="116"/>
  <c r="R28" i="116"/>
  <c r="S28" i="116"/>
  <c r="M29" i="116"/>
  <c r="N29" i="116"/>
  <c r="O29" i="116"/>
  <c r="M30" i="116"/>
  <c r="N30" i="116"/>
  <c r="O30" i="116"/>
  <c r="M31" i="116"/>
  <c r="N31" i="116"/>
  <c r="O31" i="116"/>
  <c r="M32" i="116"/>
  <c r="N32" i="116"/>
  <c r="O32" i="116"/>
  <c r="M33" i="116"/>
  <c r="N33" i="116"/>
  <c r="O33" i="116"/>
  <c r="M34" i="116"/>
  <c r="N34" i="116"/>
  <c r="O34" i="116"/>
  <c r="M35" i="116"/>
  <c r="N35" i="116"/>
  <c r="O35" i="116"/>
  <c r="R8" i="116"/>
  <c r="N8" i="116"/>
  <c r="O8" i="116"/>
  <c r="S8" i="116"/>
  <c r="M8" i="116"/>
  <c r="A1" i="179" l="1"/>
  <c r="H13" i="116"/>
  <c r="H20" i="147" l="1"/>
  <c r="K28" i="105" l="1"/>
  <c r="G28" i="105"/>
  <c r="K23" i="105"/>
  <c r="G23" i="105"/>
  <c r="K18" i="105"/>
  <c r="G18" i="105"/>
  <c r="H20" i="168" l="1"/>
  <c r="H44" i="111" l="1"/>
  <c r="N22" i="146" l="1"/>
  <c r="B20" i="146"/>
  <c r="B21" i="146"/>
  <c r="K30" i="105" l="1"/>
  <c r="K54" i="105"/>
  <c r="K50" i="105"/>
  <c r="K49" i="105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29" i="105"/>
  <c r="K27" i="105"/>
  <c r="K26" i="105"/>
  <c r="K25" i="105"/>
  <c r="K24" i="105"/>
  <c r="K22" i="105"/>
  <c r="K21" i="105"/>
  <c r="K20" i="105"/>
  <c r="K19" i="105"/>
  <c r="K17" i="105"/>
  <c r="K16" i="105"/>
  <c r="K15" i="105"/>
  <c r="K14" i="105"/>
  <c r="K13" i="105"/>
  <c r="K12" i="105"/>
  <c r="K11" i="105"/>
  <c r="K10" i="105"/>
  <c r="K9" i="105"/>
  <c r="K8" i="105"/>
  <c r="K7" i="105"/>
  <c r="K6" i="105"/>
  <c r="G30" i="105"/>
  <c r="G54" i="105"/>
  <c r="G50" i="105"/>
  <c r="G49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29" i="105"/>
  <c r="G27" i="105"/>
  <c r="G26" i="105"/>
  <c r="G25" i="105"/>
  <c r="G24" i="105"/>
  <c r="G22" i="105"/>
  <c r="G21" i="105"/>
  <c r="G20" i="105"/>
  <c r="G19" i="105"/>
  <c r="G17" i="105"/>
  <c r="G16" i="105"/>
  <c r="G15" i="105"/>
  <c r="G14" i="105"/>
  <c r="G13" i="105"/>
  <c r="G12" i="105"/>
  <c r="G11" i="105"/>
  <c r="G10" i="105"/>
  <c r="G9" i="105"/>
  <c r="G8" i="105"/>
  <c r="G7" i="105"/>
  <c r="G6" i="105"/>
  <c r="I29" i="116" l="1"/>
  <c r="H25" i="168" l="1"/>
  <c r="B19" i="146"/>
  <c r="E19" i="179" s="1"/>
  <c r="C19" i="146"/>
  <c r="B19" i="122" l="1"/>
  <c r="B18" i="122"/>
  <c r="G9" i="108" l="1"/>
  <c r="G10" i="108"/>
  <c r="G11" i="108"/>
  <c r="G12" i="108"/>
  <c r="G13" i="108"/>
  <c r="G15" i="108"/>
  <c r="G16" i="108"/>
  <c r="G17" i="108"/>
  <c r="G18" i="108"/>
  <c r="G19" i="108"/>
  <c r="G21" i="108"/>
  <c r="G22" i="108"/>
  <c r="G23" i="108"/>
  <c r="G24" i="108"/>
  <c r="G25" i="108"/>
  <c r="G14" i="108" l="1"/>
  <c r="G20" i="108"/>
  <c r="G26" i="108"/>
  <c r="K7" i="168" l="1"/>
  <c r="K8" i="168"/>
  <c r="K9" i="168"/>
  <c r="K10" i="168"/>
  <c r="K11" i="168"/>
  <c r="K12" i="168"/>
  <c r="I28" i="167"/>
  <c r="J28" i="167"/>
  <c r="I29" i="167"/>
  <c r="J29" i="167"/>
  <c r="I30" i="167"/>
  <c r="J30" i="167"/>
  <c r="I31" i="167"/>
  <c r="J31" i="167"/>
  <c r="I32" i="167"/>
  <c r="J32" i="167"/>
  <c r="I33" i="167"/>
  <c r="J33" i="167"/>
  <c r="K13" i="168" l="1"/>
  <c r="J34" i="167"/>
  <c r="I34" i="167"/>
  <c r="R44" i="128" l="1"/>
  <c r="R43" i="128"/>
  <c r="I19" i="146"/>
  <c r="H19" i="179" s="1"/>
  <c r="G14" i="168" l="1"/>
  <c r="H14" i="168"/>
  <c r="G15" i="168"/>
  <c r="H15" i="168"/>
  <c r="G16" i="168"/>
  <c r="H16" i="168"/>
  <c r="G17" i="168"/>
  <c r="H17" i="168"/>
  <c r="G18" i="168"/>
  <c r="H18" i="168"/>
  <c r="G19" i="168"/>
  <c r="H19" i="168"/>
  <c r="G20" i="168" l="1"/>
  <c r="L19" i="146" l="1"/>
  <c r="L20" i="146"/>
  <c r="L21" i="146"/>
  <c r="L22" i="146"/>
  <c r="L23" i="146"/>
  <c r="L24" i="146"/>
  <c r="L25" i="146"/>
  <c r="J19" i="146"/>
  <c r="J20" i="146"/>
  <c r="J21" i="146"/>
  <c r="J22" i="146"/>
  <c r="J23" i="146"/>
  <c r="J24" i="146"/>
  <c r="J25" i="146"/>
  <c r="F19" i="146"/>
  <c r="F20" i="146"/>
  <c r="F21" i="146"/>
  <c r="F22" i="146"/>
  <c r="F23" i="146"/>
  <c r="F24" i="146"/>
  <c r="F25" i="146"/>
  <c r="C20" i="146"/>
  <c r="C21" i="146"/>
  <c r="C22" i="146"/>
  <c r="C23" i="146"/>
  <c r="C24" i="146"/>
  <c r="C25" i="146"/>
  <c r="E23" i="146" l="1"/>
  <c r="G23" i="146" s="1"/>
  <c r="G9" i="107" l="1"/>
  <c r="R18" i="122" l="1"/>
  <c r="O19" i="122"/>
  <c r="L18" i="122"/>
  <c r="G18" i="122"/>
  <c r="D18" i="122"/>
  <c r="O20" i="146"/>
  <c r="K19" i="146"/>
  <c r="H22" i="179" s="1"/>
  <c r="M25" i="146"/>
  <c r="M24" i="146"/>
  <c r="M23" i="146"/>
  <c r="M22" i="146"/>
  <c r="M21" i="146"/>
  <c r="M20" i="146"/>
  <c r="M19" i="146"/>
  <c r="H25" i="146"/>
  <c r="H24" i="146"/>
  <c r="H23" i="146"/>
  <c r="H22" i="146"/>
  <c r="H21" i="146"/>
  <c r="H20" i="146"/>
  <c r="H19" i="146"/>
  <c r="B23" i="146"/>
  <c r="T23" i="146"/>
  <c r="S23" i="146"/>
  <c r="T20" i="146"/>
  <c r="S20" i="146"/>
  <c r="T19" i="146"/>
  <c r="K20" i="146"/>
  <c r="D20" i="146" l="1"/>
  <c r="T25" i="146"/>
  <c r="S25" i="146"/>
  <c r="Q25" i="146"/>
  <c r="P25" i="146"/>
  <c r="O25" i="146"/>
  <c r="N25" i="146"/>
  <c r="K25" i="146"/>
  <c r="I25" i="146"/>
  <c r="E25" i="146"/>
  <c r="G25" i="146" s="1"/>
  <c r="B25" i="146"/>
  <c r="D25" i="146" s="1"/>
  <c r="T24" i="146"/>
  <c r="S24" i="146"/>
  <c r="Q24" i="146"/>
  <c r="P24" i="146"/>
  <c r="O24" i="146"/>
  <c r="N24" i="146"/>
  <c r="K24" i="146"/>
  <c r="I24" i="146"/>
  <c r="E24" i="146"/>
  <c r="G24" i="146" s="1"/>
  <c r="B24" i="146"/>
  <c r="D24" i="146" s="1"/>
  <c r="Q23" i="146"/>
  <c r="P23" i="146"/>
  <c r="O23" i="146"/>
  <c r="N23" i="146"/>
  <c r="K23" i="146"/>
  <c r="I23" i="146"/>
  <c r="D23" i="146"/>
  <c r="T22" i="146"/>
  <c r="S22" i="146"/>
  <c r="Q22" i="146"/>
  <c r="P22" i="146"/>
  <c r="O22" i="146"/>
  <c r="K22" i="146"/>
  <c r="I22" i="146"/>
  <c r="E22" i="146"/>
  <c r="B22" i="146"/>
  <c r="T21" i="146"/>
  <c r="S21" i="146"/>
  <c r="Q21" i="146"/>
  <c r="P21" i="146"/>
  <c r="O21" i="146"/>
  <c r="N21" i="146"/>
  <c r="K21" i="146"/>
  <c r="I21" i="146"/>
  <c r="E21" i="146"/>
  <c r="Q20" i="146"/>
  <c r="P20" i="146"/>
  <c r="N20" i="146"/>
  <c r="I20" i="146"/>
  <c r="E20" i="146"/>
  <c r="Q19" i="146"/>
  <c r="E26" i="179" s="1"/>
  <c r="P19" i="146"/>
  <c r="O19" i="146"/>
  <c r="N19" i="146"/>
  <c r="E25" i="179" s="1"/>
  <c r="E19" i="146"/>
  <c r="E22" i="179" s="1"/>
  <c r="D19" i="146"/>
  <c r="E20" i="179" s="1"/>
  <c r="G20" i="146" l="1"/>
  <c r="R19" i="146"/>
  <c r="E27" i="179" s="1"/>
  <c r="G19" i="146"/>
  <c r="E23" i="179" s="1"/>
  <c r="D22" i="146"/>
  <c r="R22" i="146"/>
  <c r="G22" i="146"/>
  <c r="R23" i="146"/>
  <c r="R20" i="146"/>
  <c r="D21" i="146"/>
  <c r="R21" i="146"/>
  <c r="G21" i="146"/>
  <c r="R24" i="146"/>
  <c r="R25" i="146"/>
  <c r="B4" i="126" l="1"/>
  <c r="B4" i="161"/>
  <c r="B4" i="162"/>
  <c r="B4" i="163"/>
  <c r="B4" i="141" l="1"/>
  <c r="B4" i="140"/>
  <c r="B4" i="139"/>
  <c r="B4" i="120"/>
  <c r="A3" i="141"/>
  <c r="A1" i="141" s="1"/>
  <c r="A3" i="120"/>
  <c r="A1" i="120" s="1"/>
  <c r="A3" i="140"/>
  <c r="A1" i="140" s="1"/>
  <c r="A3" i="139"/>
  <c r="A1" i="139" s="1"/>
  <c r="I19" i="147" l="1"/>
  <c r="A4" i="128"/>
  <c r="A30" i="128" s="1"/>
  <c r="D4" i="108" l="1"/>
  <c r="D34" i="108" s="1"/>
  <c r="I34" i="108" s="1"/>
  <c r="D4" i="109"/>
  <c r="D34" i="109" s="1"/>
  <c r="I34" i="109" s="1"/>
  <c r="D4" i="110"/>
  <c r="D34" i="110" s="1"/>
  <c r="I34" i="110" s="1"/>
  <c r="D4" i="111"/>
  <c r="D34" i="111" s="1"/>
  <c r="I34" i="111" s="1"/>
  <c r="D4" i="112"/>
  <c r="D34" i="112" s="1"/>
  <c r="I34" i="112" s="1"/>
  <c r="D4" i="113"/>
  <c r="D34" i="113" s="1"/>
  <c r="I34" i="113" s="1"/>
  <c r="D4" i="107"/>
  <c r="D34" i="107" s="1"/>
  <c r="I34" i="107" s="1"/>
  <c r="D3" i="167"/>
  <c r="I3" i="167" s="1"/>
  <c r="D3" i="166"/>
  <c r="I3" i="166" s="1"/>
  <c r="D3" i="168"/>
  <c r="I3" i="168" s="1"/>
  <c r="D3" i="165"/>
  <c r="I3" i="165" s="1"/>
  <c r="C41" i="167" l="1"/>
  <c r="I41" i="165"/>
  <c r="I41" i="167"/>
  <c r="C41" i="165"/>
  <c r="C41" i="168"/>
  <c r="I41" i="168"/>
  <c r="C41" i="166"/>
  <c r="I41" i="166"/>
  <c r="A3" i="133"/>
  <c r="D4" i="116"/>
  <c r="A3" i="145" l="1"/>
  <c r="A3" i="147"/>
  <c r="A4" i="146"/>
  <c r="B6" i="146" s="1"/>
  <c r="A3" i="122"/>
  <c r="E4" i="170" l="1"/>
  <c r="A4" i="170" l="1"/>
  <c r="B4" i="170"/>
  <c r="B22" i="122"/>
  <c r="B23" i="147" l="1"/>
  <c r="H23" i="147"/>
  <c r="H14" i="116" l="1"/>
  <c r="F23" i="120" s="1"/>
  <c r="E28" i="165" l="1"/>
  <c r="E29" i="165"/>
  <c r="E30" i="165"/>
  <c r="E31" i="165"/>
  <c r="E32" i="165"/>
  <c r="E33" i="165"/>
  <c r="E28" i="167"/>
  <c r="E29" i="167"/>
  <c r="E30" i="167"/>
  <c r="E31" i="167"/>
  <c r="E32" i="167"/>
  <c r="E33" i="167"/>
  <c r="E28" i="166"/>
  <c r="E29" i="166"/>
  <c r="E30" i="166"/>
  <c r="E31" i="166"/>
  <c r="E32" i="166"/>
  <c r="E33" i="166"/>
  <c r="E34" i="166" l="1"/>
  <c r="E34" i="165"/>
  <c r="E34" i="167"/>
  <c r="G40" i="145"/>
  <c r="G37" i="145"/>
  <c r="G21" i="107" l="1"/>
  <c r="H56" i="113" l="1"/>
  <c r="H16" i="179" l="1"/>
  <c r="H14" i="179"/>
  <c r="H13" i="179"/>
  <c r="H12" i="179"/>
  <c r="H10" i="179"/>
  <c r="H9" i="179"/>
  <c r="E16" i="179"/>
  <c r="E14" i="179"/>
  <c r="E13" i="179"/>
  <c r="E12" i="179"/>
  <c r="E10" i="179"/>
  <c r="E9" i="179"/>
  <c r="E36" i="170" l="1"/>
  <c r="E30" i="170"/>
  <c r="E29" i="170"/>
  <c r="E28" i="170"/>
  <c r="E27" i="170"/>
  <c r="E26" i="170"/>
  <c r="E25" i="170"/>
  <c r="E17" i="170"/>
  <c r="E16" i="170"/>
  <c r="E15" i="170"/>
  <c r="E14" i="170"/>
  <c r="E24" i="170"/>
  <c r="E13" i="170"/>
  <c r="E9" i="170"/>
  <c r="E6" i="170"/>
  <c r="A15" i="170" l="1"/>
  <c r="B15" i="170"/>
  <c r="B30" i="170"/>
  <c r="A30" i="170"/>
  <c r="A24" i="170"/>
  <c r="B24" i="170"/>
  <c r="B17" i="170"/>
  <c r="A17" i="170"/>
  <c r="A28" i="170"/>
  <c r="B28" i="170"/>
  <c r="B25" i="170"/>
  <c r="A25" i="170"/>
  <c r="B29" i="170"/>
  <c r="A29" i="170"/>
  <c r="B9" i="170"/>
  <c r="A9" i="170"/>
  <c r="A26" i="170"/>
  <c r="B26" i="170"/>
  <c r="B13" i="170"/>
  <c r="A13" i="170"/>
  <c r="B27" i="170"/>
  <c r="A27" i="170"/>
  <c r="B36" i="170"/>
  <c r="A36" i="170"/>
  <c r="B6" i="170"/>
  <c r="A6" i="170"/>
  <c r="A14" i="170"/>
  <c r="B14" i="170"/>
  <c r="B16" i="170"/>
  <c r="A16" i="170"/>
  <c r="R49" i="128"/>
  <c r="Q49" i="128"/>
  <c r="P49" i="128"/>
  <c r="O49" i="128"/>
  <c r="N49" i="128"/>
  <c r="M49" i="128"/>
  <c r="L49" i="128"/>
  <c r="K49" i="128"/>
  <c r="J49" i="128"/>
  <c r="I49" i="128"/>
  <c r="H49" i="128"/>
  <c r="G49" i="128"/>
  <c r="F49" i="128"/>
  <c r="E49" i="128"/>
  <c r="D49" i="128"/>
  <c r="C49" i="128"/>
  <c r="B49" i="128"/>
  <c r="R48" i="128"/>
  <c r="Q48" i="128"/>
  <c r="P48" i="128"/>
  <c r="O48" i="128"/>
  <c r="N48" i="128"/>
  <c r="M48" i="128"/>
  <c r="L48" i="128"/>
  <c r="K48" i="128"/>
  <c r="J48" i="128"/>
  <c r="I48" i="128"/>
  <c r="H48" i="128"/>
  <c r="G48" i="128"/>
  <c r="F48" i="128"/>
  <c r="E48" i="128"/>
  <c r="D48" i="128"/>
  <c r="C48" i="128"/>
  <c r="B48" i="128"/>
  <c r="R47" i="128"/>
  <c r="Q47" i="128"/>
  <c r="P47" i="128"/>
  <c r="O47" i="128"/>
  <c r="N47" i="128"/>
  <c r="M47" i="128"/>
  <c r="L47" i="128"/>
  <c r="K47" i="128"/>
  <c r="J47" i="128"/>
  <c r="I47" i="128"/>
  <c r="H47" i="128"/>
  <c r="G47" i="128"/>
  <c r="F47" i="128"/>
  <c r="E47" i="128"/>
  <c r="D47" i="128"/>
  <c r="C47" i="128"/>
  <c r="B47" i="128"/>
  <c r="R46" i="128"/>
  <c r="Q46" i="128"/>
  <c r="P46" i="128"/>
  <c r="O46" i="128"/>
  <c r="N46" i="128"/>
  <c r="M46" i="128"/>
  <c r="L46" i="128"/>
  <c r="K46" i="128"/>
  <c r="J46" i="128"/>
  <c r="I46" i="128"/>
  <c r="H46" i="128"/>
  <c r="G46" i="128"/>
  <c r="F46" i="128"/>
  <c r="E46" i="128"/>
  <c r="D46" i="128"/>
  <c r="C46" i="128"/>
  <c r="B46" i="128"/>
  <c r="R45" i="128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Q44" i="128"/>
  <c r="P44" i="128"/>
  <c r="O44" i="128"/>
  <c r="N44" i="128"/>
  <c r="M44" i="128"/>
  <c r="L44" i="128"/>
  <c r="K44" i="128"/>
  <c r="J44" i="128"/>
  <c r="I44" i="128"/>
  <c r="H44" i="128"/>
  <c r="G44" i="128"/>
  <c r="F44" i="128"/>
  <c r="E44" i="128"/>
  <c r="D44" i="128"/>
  <c r="C44" i="128"/>
  <c r="B44" i="128"/>
  <c r="Q43" i="128"/>
  <c r="P43" i="128"/>
  <c r="O43" i="128"/>
  <c r="N43" i="128"/>
  <c r="M43" i="128"/>
  <c r="L43" i="128"/>
  <c r="K43" i="128"/>
  <c r="J43" i="128"/>
  <c r="I43" i="128"/>
  <c r="H43" i="128"/>
  <c r="G43" i="128"/>
  <c r="F43" i="128"/>
  <c r="E43" i="128"/>
  <c r="D43" i="128"/>
  <c r="C43" i="128"/>
  <c r="B43" i="128"/>
  <c r="E35" i="170" l="1"/>
  <c r="E22" i="170"/>
  <c r="E11" i="170"/>
  <c r="E10" i="170"/>
  <c r="E7" i="170"/>
  <c r="B7" i="170" l="1"/>
  <c r="A7" i="170"/>
  <c r="B35" i="170"/>
  <c r="A35" i="170"/>
  <c r="B10" i="170"/>
  <c r="A10" i="170"/>
  <c r="B22" i="170"/>
  <c r="A22" i="170"/>
  <c r="B11" i="170"/>
  <c r="A11" i="170"/>
  <c r="N30" i="146"/>
  <c r="O30" i="146"/>
  <c r="N31" i="146"/>
  <c r="O31" i="146"/>
  <c r="N32" i="146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O29" i="146"/>
  <c r="N29" i="146"/>
  <c r="O28" i="146"/>
  <c r="N28" i="146"/>
  <c r="M30" i="146"/>
  <c r="M31" i="146"/>
  <c r="M32" i="146"/>
  <c r="M33" i="146"/>
  <c r="M34" i="146"/>
  <c r="M35" i="146"/>
  <c r="M36" i="146"/>
  <c r="M37" i="146"/>
  <c r="M38" i="146"/>
  <c r="M39" i="146"/>
  <c r="M40" i="146"/>
  <c r="M29" i="146"/>
  <c r="F30" i="146"/>
  <c r="F31" i="146"/>
  <c r="F32" i="146"/>
  <c r="F33" i="146"/>
  <c r="F34" i="146"/>
  <c r="F35" i="146"/>
  <c r="F36" i="146"/>
  <c r="F37" i="146"/>
  <c r="F38" i="146"/>
  <c r="F39" i="146"/>
  <c r="F40" i="146"/>
  <c r="F29" i="146"/>
  <c r="E30" i="146"/>
  <c r="E31" i="146"/>
  <c r="E32" i="146"/>
  <c r="E33" i="146"/>
  <c r="E34" i="146"/>
  <c r="E35" i="146"/>
  <c r="E36" i="146"/>
  <c r="E37" i="146"/>
  <c r="E38" i="146"/>
  <c r="E39" i="146"/>
  <c r="E40" i="146"/>
  <c r="E29" i="146"/>
  <c r="D40" i="146"/>
  <c r="D30" i="146"/>
  <c r="D31" i="146"/>
  <c r="D32" i="146"/>
  <c r="D33" i="146"/>
  <c r="D34" i="146"/>
  <c r="D35" i="146"/>
  <c r="D36" i="146"/>
  <c r="D37" i="146"/>
  <c r="D38" i="146"/>
  <c r="D39" i="146"/>
  <c r="D29" i="146"/>
  <c r="O31" i="122"/>
  <c r="N29" i="122"/>
  <c r="O29" i="122"/>
  <c r="N30" i="122"/>
  <c r="O30" i="122"/>
  <c r="N31" i="122"/>
  <c r="N32" i="122"/>
  <c r="O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O28" i="122"/>
  <c r="N28" i="122"/>
  <c r="M29" i="122"/>
  <c r="M30" i="122"/>
  <c r="M31" i="122"/>
  <c r="M32" i="122"/>
  <c r="M33" i="122"/>
  <c r="M34" i="122"/>
  <c r="M35" i="122"/>
  <c r="M36" i="122"/>
  <c r="M37" i="122"/>
  <c r="M38" i="122"/>
  <c r="M39" i="122"/>
  <c r="M28" i="122"/>
  <c r="F29" i="122"/>
  <c r="F30" i="122"/>
  <c r="F31" i="122"/>
  <c r="F32" i="122"/>
  <c r="F33" i="122"/>
  <c r="F34" i="122"/>
  <c r="F35" i="122"/>
  <c r="F36" i="122"/>
  <c r="F37" i="122"/>
  <c r="F38" i="122"/>
  <c r="F39" i="122"/>
  <c r="F28" i="122"/>
  <c r="E29" i="122"/>
  <c r="E30" i="122"/>
  <c r="E31" i="122"/>
  <c r="E32" i="122"/>
  <c r="E33" i="122"/>
  <c r="E34" i="122"/>
  <c r="E35" i="122"/>
  <c r="E36" i="122"/>
  <c r="E37" i="122"/>
  <c r="E38" i="122"/>
  <c r="E39" i="122"/>
  <c r="E28" i="122"/>
  <c r="D38" i="122"/>
  <c r="D39" i="122"/>
  <c r="D29" i="122"/>
  <c r="D30" i="122"/>
  <c r="D31" i="122"/>
  <c r="D32" i="122"/>
  <c r="D33" i="122"/>
  <c r="D34" i="122"/>
  <c r="D35" i="122"/>
  <c r="D36" i="122"/>
  <c r="D37" i="122"/>
  <c r="D28" i="122"/>
  <c r="E23" i="170" l="1"/>
  <c r="E12" i="170"/>
  <c r="E8" i="170"/>
  <c r="E5" i="170"/>
  <c r="E3" i="170"/>
  <c r="B3" i="170" l="1"/>
  <c r="A3" i="170"/>
  <c r="B8" i="170"/>
  <c r="A8" i="170"/>
  <c r="A12" i="170"/>
  <c r="B12" i="170"/>
  <c r="B23" i="170"/>
  <c r="A23" i="170"/>
  <c r="B5" i="170"/>
  <c r="A5" i="170"/>
  <c r="A57" i="108"/>
  <c r="A57" i="109"/>
  <c r="A57" i="110"/>
  <c r="A57" i="111"/>
  <c r="A57" i="112"/>
  <c r="A57" i="113"/>
  <c r="A57" i="107"/>
  <c r="A51" i="108"/>
  <c r="A51" i="109"/>
  <c r="A51" i="110"/>
  <c r="A51" i="111"/>
  <c r="A51" i="112"/>
  <c r="A51" i="113"/>
  <c r="A51" i="107"/>
  <c r="A45" i="108"/>
  <c r="A45" i="109"/>
  <c r="A45" i="110"/>
  <c r="A45" i="111"/>
  <c r="A45" i="112"/>
  <c r="A45" i="113"/>
  <c r="A45" i="107"/>
  <c r="A39" i="108"/>
  <c r="A39" i="109"/>
  <c r="A39" i="110"/>
  <c r="A39" i="111"/>
  <c r="A39" i="112"/>
  <c r="A39" i="113"/>
  <c r="A39" i="107"/>
  <c r="A27" i="108"/>
  <c r="A27" i="109"/>
  <c r="A27" i="110"/>
  <c r="A27" i="111"/>
  <c r="A27" i="112"/>
  <c r="A27" i="113"/>
  <c r="A27" i="107"/>
  <c r="A21" i="108"/>
  <c r="A21" i="109"/>
  <c r="A21" i="110"/>
  <c r="A21" i="111"/>
  <c r="A21" i="112"/>
  <c r="A21" i="113"/>
  <c r="A21" i="107"/>
  <c r="A15" i="108"/>
  <c r="A15" i="109"/>
  <c r="A15" i="110"/>
  <c r="A15" i="111"/>
  <c r="A15" i="112"/>
  <c r="A15" i="113"/>
  <c r="A15" i="107"/>
  <c r="A9" i="108"/>
  <c r="A9" i="109"/>
  <c r="A9" i="110"/>
  <c r="A9" i="111"/>
  <c r="A9" i="112"/>
  <c r="A9" i="113"/>
  <c r="A9" i="107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E34" i="170" l="1"/>
  <c r="D11" i="161"/>
  <c r="E32" i="170"/>
  <c r="E33" i="170"/>
  <c r="E31" i="170"/>
  <c r="C10" i="126"/>
  <c r="D10" i="126"/>
  <c r="B10" i="126"/>
  <c r="C9" i="126"/>
  <c r="D9" i="126"/>
  <c r="B9" i="126"/>
  <c r="C8" i="126"/>
  <c r="D8" i="126"/>
  <c r="B8" i="126"/>
  <c r="C7" i="126"/>
  <c r="D7" i="126"/>
  <c r="B7" i="126"/>
  <c r="A3" i="163"/>
  <c r="A1" i="163" s="1"/>
  <c r="A3" i="162"/>
  <c r="A3" i="161"/>
  <c r="A3" i="126"/>
  <c r="D44" i="168"/>
  <c r="C44" i="168"/>
  <c r="D43" i="168"/>
  <c r="C43" i="168"/>
  <c r="D42" i="168"/>
  <c r="C42" i="168"/>
  <c r="J33" i="168"/>
  <c r="I33" i="168"/>
  <c r="F33" i="168"/>
  <c r="E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J28" i="168"/>
  <c r="I28" i="168"/>
  <c r="F28" i="168"/>
  <c r="E28" i="168"/>
  <c r="D28" i="168"/>
  <c r="A28" i="168"/>
  <c r="A37" i="168" s="1"/>
  <c r="H27" i="168"/>
  <c r="F10" i="162" s="1"/>
  <c r="K26" i="168"/>
  <c r="H26" i="168"/>
  <c r="G26" i="168"/>
  <c r="K25" i="168"/>
  <c r="G25" i="168"/>
  <c r="K24" i="168"/>
  <c r="H24" i="168"/>
  <c r="G24" i="168"/>
  <c r="K23" i="168"/>
  <c r="H23" i="168"/>
  <c r="G23" i="168"/>
  <c r="K22" i="168"/>
  <c r="H22" i="168"/>
  <c r="G22" i="168"/>
  <c r="K21" i="168"/>
  <c r="H21" i="168"/>
  <c r="G21" i="168"/>
  <c r="A21" i="168"/>
  <c r="B44" i="168" s="1"/>
  <c r="F10" i="161"/>
  <c r="K19" i="168"/>
  <c r="K18" i="168"/>
  <c r="K17" i="168"/>
  <c r="K16" i="168"/>
  <c r="K15" i="168"/>
  <c r="K14" i="168"/>
  <c r="A14" i="168"/>
  <c r="H43" i="168" s="1"/>
  <c r="H13" i="168"/>
  <c r="F10" i="126" s="1"/>
  <c r="H12" i="168"/>
  <c r="G12" i="168"/>
  <c r="H11" i="168"/>
  <c r="G11" i="168"/>
  <c r="H10" i="168"/>
  <c r="G10" i="168"/>
  <c r="H9" i="168"/>
  <c r="G9" i="168"/>
  <c r="H8" i="168"/>
  <c r="G8" i="168"/>
  <c r="H7" i="168"/>
  <c r="G7" i="168"/>
  <c r="A7" i="168"/>
  <c r="B42" i="168" s="1"/>
  <c r="D44" i="167"/>
  <c r="C44" i="167"/>
  <c r="D43" i="167"/>
  <c r="C43" i="167"/>
  <c r="D42" i="167"/>
  <c r="C42" i="167"/>
  <c r="F33" i="167"/>
  <c r="F32" i="167"/>
  <c r="D32" i="167"/>
  <c r="F31" i="167"/>
  <c r="D31" i="167"/>
  <c r="F30" i="167"/>
  <c r="D30" i="167"/>
  <c r="F29" i="167"/>
  <c r="D29" i="167"/>
  <c r="F28" i="167"/>
  <c r="D28" i="167"/>
  <c r="A28" i="167"/>
  <c r="A37" i="167" s="1"/>
  <c r="H27" i="167"/>
  <c r="F8" i="162" s="1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K21" i="167"/>
  <c r="H21" i="167"/>
  <c r="G21" i="167"/>
  <c r="A21" i="167"/>
  <c r="B44" i="167" s="1"/>
  <c r="H20" i="167"/>
  <c r="F8" i="161" s="1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K14" i="167"/>
  <c r="H14" i="167"/>
  <c r="G14" i="167"/>
  <c r="A14" i="167"/>
  <c r="H43" i="167" s="1"/>
  <c r="H13" i="167"/>
  <c r="F8" i="126" s="1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K7" i="167"/>
  <c r="H7" i="167"/>
  <c r="G7" i="167"/>
  <c r="A7" i="167"/>
  <c r="B42" i="167" s="1"/>
  <c r="D44" i="166"/>
  <c r="C44" i="166"/>
  <c r="D43" i="166"/>
  <c r="C43" i="166"/>
  <c r="D42" i="166"/>
  <c r="C42" i="166"/>
  <c r="J33" i="166"/>
  <c r="I33" i="166"/>
  <c r="F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J28" i="166"/>
  <c r="I28" i="166"/>
  <c r="F28" i="166"/>
  <c r="D28" i="166"/>
  <c r="A28" i="166"/>
  <c r="A37" i="166" s="1"/>
  <c r="H27" i="166"/>
  <c r="F9" i="162" s="1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K21" i="166"/>
  <c r="H21" i="166"/>
  <c r="G21" i="166"/>
  <c r="A21" i="166"/>
  <c r="B44" i="166" s="1"/>
  <c r="H20" i="166"/>
  <c r="F9" i="161" s="1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K14" i="166"/>
  <c r="H14" i="166"/>
  <c r="G14" i="166"/>
  <c r="A14" i="166"/>
  <c r="H43" i="166" s="1"/>
  <c r="H13" i="166"/>
  <c r="F9" i="126" s="1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K7" i="166"/>
  <c r="H7" i="166"/>
  <c r="G7" i="166"/>
  <c r="A7" i="166"/>
  <c r="B42" i="166" s="1"/>
  <c r="D44" i="165"/>
  <c r="C44" i="165"/>
  <c r="D43" i="165"/>
  <c r="C43" i="165"/>
  <c r="D42" i="165"/>
  <c r="C42" i="165"/>
  <c r="J33" i="165"/>
  <c r="I33" i="165"/>
  <c r="F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J28" i="165"/>
  <c r="I28" i="165"/>
  <c r="R29" i="116" s="1"/>
  <c r="F28" i="165"/>
  <c r="D28" i="165"/>
  <c r="A28" i="165"/>
  <c r="A37" i="165" s="1"/>
  <c r="H27" i="165"/>
  <c r="F7" i="162" s="1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K21" i="165"/>
  <c r="H21" i="165"/>
  <c r="G21" i="165"/>
  <c r="A21" i="165"/>
  <c r="B44" i="165" s="1"/>
  <c r="H20" i="165"/>
  <c r="F7" i="161" s="1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K14" i="165"/>
  <c r="H14" i="165"/>
  <c r="G14" i="165"/>
  <c r="A14" i="165"/>
  <c r="B43" i="165" s="1"/>
  <c r="H13" i="165"/>
  <c r="F7" i="126" s="1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K7" i="165"/>
  <c r="H7" i="165"/>
  <c r="G7" i="165"/>
  <c r="A7" i="165"/>
  <c r="B42" i="165" s="1"/>
  <c r="A29" i="116"/>
  <c r="A22" i="116"/>
  <c r="A15" i="116"/>
  <c r="A8" i="116"/>
  <c r="H3" i="145"/>
  <c r="E3" i="145"/>
  <c r="B3" i="145"/>
  <c r="B41" i="145" s="1"/>
  <c r="A34" i="170" l="1"/>
  <c r="B34" i="170"/>
  <c r="A1" i="162"/>
  <c r="E20" i="170" s="1"/>
  <c r="B32" i="170"/>
  <c r="A32" i="170"/>
  <c r="A33" i="170"/>
  <c r="B33" i="170"/>
  <c r="A1" i="161"/>
  <c r="E19" i="170" s="1"/>
  <c r="A1" i="126"/>
  <c r="E18" i="170" s="1"/>
  <c r="A31" i="170"/>
  <c r="B31" i="170"/>
  <c r="C45" i="167"/>
  <c r="E21" i="170"/>
  <c r="H28" i="166"/>
  <c r="H32" i="166"/>
  <c r="H28" i="167"/>
  <c r="H32" i="167"/>
  <c r="H29" i="167"/>
  <c r="C11" i="126"/>
  <c r="E8" i="126" s="1"/>
  <c r="H32" i="165"/>
  <c r="H33" i="165"/>
  <c r="H28" i="168"/>
  <c r="B11" i="126"/>
  <c r="C45" i="166"/>
  <c r="D45" i="167"/>
  <c r="H30" i="166"/>
  <c r="D45" i="166"/>
  <c r="K20" i="168"/>
  <c r="K27" i="168"/>
  <c r="H30" i="168"/>
  <c r="C45" i="168"/>
  <c r="K20" i="165"/>
  <c r="C7" i="163"/>
  <c r="G13" i="166"/>
  <c r="G27" i="166"/>
  <c r="D34" i="166"/>
  <c r="B9" i="163" s="1"/>
  <c r="H29" i="168"/>
  <c r="D41" i="168"/>
  <c r="G37" i="168"/>
  <c r="D34" i="167"/>
  <c r="B8" i="163" s="1"/>
  <c r="I34" i="165"/>
  <c r="K20" i="166"/>
  <c r="K27" i="166"/>
  <c r="H31" i="166"/>
  <c r="H31" i="167"/>
  <c r="G13" i="168"/>
  <c r="G27" i="168"/>
  <c r="D34" i="168"/>
  <c r="B10" i="163" s="1"/>
  <c r="H32" i="168"/>
  <c r="D45" i="168"/>
  <c r="H31" i="165"/>
  <c r="H29" i="166"/>
  <c r="H30" i="167"/>
  <c r="J34" i="168"/>
  <c r="G37" i="165"/>
  <c r="D41" i="166"/>
  <c r="J41" i="165"/>
  <c r="D41" i="167"/>
  <c r="G37" i="166"/>
  <c r="H43" i="165"/>
  <c r="G37" i="167"/>
  <c r="H31" i="168"/>
  <c r="F34" i="168"/>
  <c r="D10" i="163" s="1"/>
  <c r="F34" i="166"/>
  <c r="D9" i="163" s="1"/>
  <c r="G20" i="166"/>
  <c r="J34" i="166"/>
  <c r="K13" i="166"/>
  <c r="K13" i="167"/>
  <c r="K20" i="167"/>
  <c r="K27" i="167"/>
  <c r="G13" i="167"/>
  <c r="G20" i="167"/>
  <c r="G27" i="167"/>
  <c r="F34" i="167"/>
  <c r="D8" i="163" s="1"/>
  <c r="K13" i="165"/>
  <c r="K27" i="165"/>
  <c r="G20" i="165"/>
  <c r="G27" i="165"/>
  <c r="H33" i="168"/>
  <c r="B43" i="168"/>
  <c r="E34" i="168"/>
  <c r="I34" i="168"/>
  <c r="K28" i="168" s="1"/>
  <c r="H42" i="168"/>
  <c r="H44" i="168"/>
  <c r="H33" i="167"/>
  <c r="B43" i="167"/>
  <c r="K32" i="167"/>
  <c r="H42" i="167"/>
  <c r="H44" i="167"/>
  <c r="H33" i="166"/>
  <c r="B43" i="166"/>
  <c r="I34" i="166"/>
  <c r="K31" i="166" s="1"/>
  <c r="H42" i="166"/>
  <c r="H44" i="166"/>
  <c r="H29" i="165"/>
  <c r="D45" i="165"/>
  <c r="H30" i="165"/>
  <c r="J34" i="165"/>
  <c r="G13" i="165"/>
  <c r="F34" i="165"/>
  <c r="C45" i="165"/>
  <c r="D34" i="165"/>
  <c r="H28" i="165"/>
  <c r="H42" i="165"/>
  <c r="H44" i="165"/>
  <c r="B21" i="170" l="1"/>
  <c r="A21" i="170"/>
  <c r="B19" i="170"/>
  <c r="A19" i="170"/>
  <c r="B20" i="170"/>
  <c r="A20" i="170"/>
  <c r="B18" i="170"/>
  <c r="A18" i="170"/>
  <c r="J41" i="166"/>
  <c r="D41" i="165"/>
  <c r="D7" i="163"/>
  <c r="B7" i="163"/>
  <c r="J43" i="165"/>
  <c r="K30" i="165"/>
  <c r="J41" i="168"/>
  <c r="G31" i="165"/>
  <c r="I44" i="165"/>
  <c r="E7" i="126"/>
  <c r="E10" i="126"/>
  <c r="E9" i="126"/>
  <c r="G30" i="165"/>
  <c r="G33" i="165"/>
  <c r="K32" i="165"/>
  <c r="I43" i="165"/>
  <c r="J42" i="165"/>
  <c r="G29" i="165"/>
  <c r="G32" i="165"/>
  <c r="G28" i="165"/>
  <c r="I42" i="165"/>
  <c r="K31" i="165"/>
  <c r="G29" i="166"/>
  <c r="C9" i="163"/>
  <c r="G31" i="167"/>
  <c r="C8" i="163"/>
  <c r="G33" i="168"/>
  <c r="C10" i="163"/>
  <c r="K28" i="165"/>
  <c r="H34" i="165"/>
  <c r="F7" i="163" s="1"/>
  <c r="H33" i="179" s="1"/>
  <c r="K29" i="165"/>
  <c r="J44" i="165"/>
  <c r="K33" i="165"/>
  <c r="J41" i="167"/>
  <c r="G30" i="168"/>
  <c r="K30" i="166"/>
  <c r="K32" i="166"/>
  <c r="G30" i="167"/>
  <c r="I44" i="168"/>
  <c r="I42" i="168"/>
  <c r="I43" i="168"/>
  <c r="H34" i="168"/>
  <c r="F10" i="163" s="1"/>
  <c r="H36" i="179" s="1"/>
  <c r="G32" i="168"/>
  <c r="K32" i="168"/>
  <c r="K29" i="168"/>
  <c r="K30" i="168"/>
  <c r="G31" i="168"/>
  <c r="G28" i="168"/>
  <c r="G29" i="168"/>
  <c r="J44" i="168"/>
  <c r="J42" i="168"/>
  <c r="J43" i="168"/>
  <c r="K33" i="168"/>
  <c r="K31" i="168"/>
  <c r="I44" i="167"/>
  <c r="I42" i="167"/>
  <c r="I43" i="167"/>
  <c r="H34" i="167"/>
  <c r="F8" i="163" s="1"/>
  <c r="H34" i="179" s="1"/>
  <c r="G32" i="167"/>
  <c r="K29" i="167"/>
  <c r="K28" i="167"/>
  <c r="K33" i="167"/>
  <c r="G28" i="167"/>
  <c r="G29" i="167"/>
  <c r="J44" i="167"/>
  <c r="J42" i="167"/>
  <c r="J43" i="167"/>
  <c r="G33" i="167"/>
  <c r="K30" i="167"/>
  <c r="K31" i="167"/>
  <c r="G32" i="166"/>
  <c r="I44" i="166"/>
  <c r="I42" i="166"/>
  <c r="I43" i="166"/>
  <c r="H34" i="166"/>
  <c r="F9" i="163" s="1"/>
  <c r="H35" i="179" s="1"/>
  <c r="G33" i="166"/>
  <c r="G28" i="166"/>
  <c r="K28" i="166"/>
  <c r="G30" i="166"/>
  <c r="J44" i="166"/>
  <c r="J42" i="166"/>
  <c r="J43" i="166"/>
  <c r="K33" i="166"/>
  <c r="G31" i="166"/>
  <c r="K29" i="166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G20" i="107" l="1"/>
  <c r="G14" i="107"/>
  <c r="G26" i="107"/>
  <c r="I45" i="165"/>
  <c r="J45" i="165"/>
  <c r="E11" i="126"/>
  <c r="G34" i="165"/>
  <c r="K34" i="165"/>
  <c r="I45" i="167"/>
  <c r="J45" i="167"/>
  <c r="G34" i="166"/>
  <c r="K34" i="168"/>
  <c r="J45" i="168"/>
  <c r="G34" i="168"/>
  <c r="I45" i="168"/>
  <c r="I45" i="166"/>
  <c r="J45" i="166"/>
  <c r="K34" i="166"/>
  <c r="K34" i="167"/>
  <c r="G34" i="167"/>
  <c r="K55" i="113"/>
  <c r="K54" i="113"/>
  <c r="K53" i="113"/>
  <c r="K52" i="113"/>
  <c r="K51" i="113"/>
  <c r="K49" i="113"/>
  <c r="K48" i="113"/>
  <c r="K47" i="113"/>
  <c r="K46" i="113"/>
  <c r="K45" i="113"/>
  <c r="K43" i="113"/>
  <c r="K42" i="113"/>
  <c r="K41" i="113"/>
  <c r="K40" i="113"/>
  <c r="K39" i="113"/>
  <c r="K55" i="112"/>
  <c r="K54" i="112"/>
  <c r="K53" i="112"/>
  <c r="K52" i="112"/>
  <c r="K51" i="112"/>
  <c r="K49" i="112"/>
  <c r="K48" i="112"/>
  <c r="K47" i="112"/>
  <c r="K46" i="112"/>
  <c r="K45" i="112"/>
  <c r="K43" i="112"/>
  <c r="K42" i="112"/>
  <c r="K41" i="112"/>
  <c r="K40" i="112"/>
  <c r="K39" i="112"/>
  <c r="K55" i="111"/>
  <c r="K54" i="111"/>
  <c r="K53" i="111"/>
  <c r="K52" i="111"/>
  <c r="K51" i="111"/>
  <c r="K49" i="111"/>
  <c r="K48" i="111"/>
  <c r="K47" i="111"/>
  <c r="K46" i="111"/>
  <c r="K45" i="111"/>
  <c r="K43" i="111"/>
  <c r="K42" i="111"/>
  <c r="K41" i="111"/>
  <c r="K40" i="111"/>
  <c r="K39" i="111"/>
  <c r="K55" i="110"/>
  <c r="K54" i="110"/>
  <c r="K53" i="110"/>
  <c r="K52" i="110"/>
  <c r="K51" i="110"/>
  <c r="K49" i="110"/>
  <c r="K48" i="110"/>
  <c r="K47" i="110"/>
  <c r="K46" i="110"/>
  <c r="K45" i="110"/>
  <c r="K43" i="110"/>
  <c r="K42" i="110"/>
  <c r="K41" i="110"/>
  <c r="K40" i="110"/>
  <c r="K39" i="110"/>
  <c r="K55" i="109"/>
  <c r="K54" i="109"/>
  <c r="K53" i="109"/>
  <c r="K52" i="109"/>
  <c r="K51" i="109"/>
  <c r="K49" i="109"/>
  <c r="K48" i="109"/>
  <c r="K47" i="109"/>
  <c r="K46" i="109"/>
  <c r="K45" i="109"/>
  <c r="K43" i="109"/>
  <c r="K42" i="109"/>
  <c r="K41" i="109"/>
  <c r="K40" i="109"/>
  <c r="K39" i="109"/>
  <c r="K55" i="108"/>
  <c r="K54" i="108"/>
  <c r="K53" i="108"/>
  <c r="K52" i="108"/>
  <c r="K51" i="108"/>
  <c r="K49" i="108"/>
  <c r="K48" i="108"/>
  <c r="K47" i="108"/>
  <c r="K46" i="108"/>
  <c r="K45" i="108"/>
  <c r="K43" i="108"/>
  <c r="K42" i="108"/>
  <c r="K41" i="108"/>
  <c r="K40" i="108"/>
  <c r="K39" i="108"/>
  <c r="K25" i="113"/>
  <c r="K24" i="113"/>
  <c r="K23" i="113"/>
  <c r="K22" i="113"/>
  <c r="K21" i="113"/>
  <c r="K19" i="113"/>
  <c r="K18" i="113"/>
  <c r="K17" i="113"/>
  <c r="K16" i="113"/>
  <c r="K15" i="113"/>
  <c r="K13" i="113"/>
  <c r="K12" i="113"/>
  <c r="K11" i="113"/>
  <c r="K10" i="113"/>
  <c r="K9" i="113"/>
  <c r="K25" i="112"/>
  <c r="K24" i="112"/>
  <c r="K23" i="112"/>
  <c r="K22" i="112"/>
  <c r="K21" i="112"/>
  <c r="K19" i="112"/>
  <c r="K18" i="112"/>
  <c r="K17" i="112"/>
  <c r="K16" i="112"/>
  <c r="K15" i="112"/>
  <c r="K13" i="112"/>
  <c r="K12" i="112"/>
  <c r="K11" i="112"/>
  <c r="K10" i="112"/>
  <c r="K9" i="112"/>
  <c r="K25" i="111"/>
  <c r="K24" i="111"/>
  <c r="K23" i="111"/>
  <c r="K22" i="111"/>
  <c r="K21" i="111"/>
  <c r="K19" i="111"/>
  <c r="K18" i="111"/>
  <c r="K17" i="111"/>
  <c r="K16" i="111"/>
  <c r="K15" i="111"/>
  <c r="K13" i="111"/>
  <c r="K12" i="111"/>
  <c r="K11" i="111"/>
  <c r="K10" i="111"/>
  <c r="K9" i="111"/>
  <c r="K25" i="110"/>
  <c r="K24" i="110"/>
  <c r="K23" i="110"/>
  <c r="K22" i="110"/>
  <c r="K21" i="110"/>
  <c r="K19" i="110"/>
  <c r="K18" i="110"/>
  <c r="K17" i="110"/>
  <c r="K16" i="110"/>
  <c r="K15" i="110"/>
  <c r="K13" i="110"/>
  <c r="K12" i="110"/>
  <c r="K11" i="110"/>
  <c r="K10" i="110"/>
  <c r="K9" i="110"/>
  <c r="K25" i="109"/>
  <c r="K24" i="109"/>
  <c r="K23" i="109"/>
  <c r="K22" i="109"/>
  <c r="K21" i="109"/>
  <c r="K19" i="109"/>
  <c r="K18" i="109"/>
  <c r="K17" i="109"/>
  <c r="K16" i="109"/>
  <c r="K15" i="109"/>
  <c r="K13" i="109"/>
  <c r="K12" i="109"/>
  <c r="K11" i="109"/>
  <c r="K10" i="109"/>
  <c r="K9" i="109"/>
  <c r="K25" i="108"/>
  <c r="K24" i="108"/>
  <c r="K23" i="108"/>
  <c r="K22" i="108"/>
  <c r="K21" i="108"/>
  <c r="K19" i="108"/>
  <c r="K18" i="108"/>
  <c r="K17" i="108"/>
  <c r="K16" i="108"/>
  <c r="K15" i="108"/>
  <c r="K13" i="108"/>
  <c r="K12" i="108"/>
  <c r="K11" i="108"/>
  <c r="K10" i="108"/>
  <c r="K9" i="108"/>
  <c r="K14" i="112" l="1"/>
  <c r="K44" i="110"/>
  <c r="K56" i="112"/>
  <c r="K26" i="110"/>
  <c r="K56" i="108"/>
  <c r="K20" i="113"/>
  <c r="K14" i="108"/>
  <c r="K44" i="113"/>
  <c r="K50" i="113"/>
  <c r="K56" i="113"/>
  <c r="K26" i="113"/>
  <c r="K14" i="113"/>
  <c r="K44" i="112"/>
  <c r="K50" i="112"/>
  <c r="K20" i="112"/>
  <c r="K26" i="112"/>
  <c r="K50" i="111"/>
  <c r="K56" i="111"/>
  <c r="K44" i="111"/>
  <c r="K14" i="111"/>
  <c r="K20" i="111"/>
  <c r="K26" i="111"/>
  <c r="K50" i="110"/>
  <c r="K56" i="110"/>
  <c r="K14" i="110"/>
  <c r="K20" i="110"/>
  <c r="K44" i="109"/>
  <c r="K50" i="109"/>
  <c r="K56" i="109"/>
  <c r="K14" i="109"/>
  <c r="K20" i="109"/>
  <c r="K26" i="109"/>
  <c r="K44" i="108"/>
  <c r="K50" i="108"/>
  <c r="K20" i="108"/>
  <c r="K26" i="108"/>
  <c r="F40" i="145" l="1"/>
  <c r="D22" i="140" l="1"/>
  <c r="C22" i="140"/>
  <c r="D22" i="139"/>
  <c r="C22" i="139"/>
  <c r="D22" i="120"/>
  <c r="C22" i="120"/>
  <c r="K17" i="107" l="1"/>
  <c r="I27" i="107"/>
  <c r="J61" i="108"/>
  <c r="I61" i="108"/>
  <c r="J60" i="108"/>
  <c r="I60" i="108"/>
  <c r="J59" i="108"/>
  <c r="I59" i="108"/>
  <c r="J58" i="108"/>
  <c r="I58" i="108"/>
  <c r="J57" i="108"/>
  <c r="I57" i="108"/>
  <c r="J61" i="109"/>
  <c r="I61" i="109"/>
  <c r="J60" i="109"/>
  <c r="I60" i="109"/>
  <c r="J59" i="109"/>
  <c r="I59" i="109"/>
  <c r="J58" i="109"/>
  <c r="I58" i="109"/>
  <c r="J57" i="109"/>
  <c r="I57" i="109"/>
  <c r="J61" i="110"/>
  <c r="I61" i="110"/>
  <c r="J60" i="110"/>
  <c r="I60" i="110"/>
  <c r="J59" i="110"/>
  <c r="I59" i="110"/>
  <c r="J58" i="110"/>
  <c r="I58" i="110"/>
  <c r="J57" i="110"/>
  <c r="I57" i="110"/>
  <c r="J61" i="111"/>
  <c r="I61" i="111"/>
  <c r="J60" i="111"/>
  <c r="I60" i="111"/>
  <c r="J59" i="111"/>
  <c r="I59" i="111"/>
  <c r="J58" i="111"/>
  <c r="I58" i="111"/>
  <c r="J57" i="111"/>
  <c r="I57" i="111"/>
  <c r="J61" i="112"/>
  <c r="I61" i="112"/>
  <c r="J60" i="112"/>
  <c r="I60" i="112"/>
  <c r="J59" i="112"/>
  <c r="I59" i="112"/>
  <c r="J58" i="112"/>
  <c r="I58" i="112"/>
  <c r="J57" i="112"/>
  <c r="I57" i="112"/>
  <c r="J61" i="113"/>
  <c r="I61" i="113"/>
  <c r="J60" i="113"/>
  <c r="I60" i="113"/>
  <c r="J59" i="113"/>
  <c r="I59" i="113"/>
  <c r="J58" i="113"/>
  <c r="I58" i="113"/>
  <c r="J57" i="113"/>
  <c r="I57" i="113"/>
  <c r="J61" i="107"/>
  <c r="I61" i="107"/>
  <c r="J60" i="107"/>
  <c r="I60" i="107"/>
  <c r="J59" i="107"/>
  <c r="I59" i="107"/>
  <c r="J58" i="107"/>
  <c r="I58" i="107"/>
  <c r="J57" i="107"/>
  <c r="I57" i="107"/>
  <c r="J31" i="108"/>
  <c r="I31" i="108"/>
  <c r="J30" i="108"/>
  <c r="I30" i="108"/>
  <c r="J29" i="108"/>
  <c r="I29" i="108"/>
  <c r="J28" i="108"/>
  <c r="I28" i="108"/>
  <c r="J27" i="108"/>
  <c r="I27" i="108"/>
  <c r="J31" i="109"/>
  <c r="I31" i="109"/>
  <c r="J30" i="109"/>
  <c r="I30" i="109"/>
  <c r="J29" i="109"/>
  <c r="I29" i="109"/>
  <c r="J28" i="109"/>
  <c r="I28" i="109"/>
  <c r="J27" i="109"/>
  <c r="I27" i="109"/>
  <c r="J31" i="110"/>
  <c r="I31" i="110"/>
  <c r="J30" i="110"/>
  <c r="I30" i="110"/>
  <c r="J29" i="110"/>
  <c r="I29" i="110"/>
  <c r="J28" i="110"/>
  <c r="I28" i="110"/>
  <c r="J27" i="110"/>
  <c r="I27" i="110"/>
  <c r="J31" i="111"/>
  <c r="I31" i="111"/>
  <c r="J30" i="111"/>
  <c r="I30" i="111"/>
  <c r="J29" i="111"/>
  <c r="I29" i="111"/>
  <c r="J28" i="111"/>
  <c r="I28" i="111"/>
  <c r="J27" i="111"/>
  <c r="I27" i="111"/>
  <c r="J31" i="112"/>
  <c r="I31" i="112"/>
  <c r="J30" i="112"/>
  <c r="I30" i="112"/>
  <c r="J29" i="112"/>
  <c r="I29" i="112"/>
  <c r="J28" i="112"/>
  <c r="I28" i="112"/>
  <c r="J27" i="112"/>
  <c r="I27" i="112"/>
  <c r="J31" i="113"/>
  <c r="I31" i="113"/>
  <c r="J30" i="113"/>
  <c r="I30" i="113"/>
  <c r="J29" i="113"/>
  <c r="I29" i="113"/>
  <c r="J28" i="113"/>
  <c r="I28" i="113"/>
  <c r="J27" i="113"/>
  <c r="I27" i="113"/>
  <c r="J31" i="107"/>
  <c r="I31" i="107"/>
  <c r="J30" i="107"/>
  <c r="I30" i="107"/>
  <c r="J29" i="107"/>
  <c r="I29" i="107"/>
  <c r="J28" i="107"/>
  <c r="I28" i="107"/>
  <c r="J27" i="107"/>
  <c r="I62" i="110" l="1"/>
  <c r="K60" i="110" s="1"/>
  <c r="I62" i="108"/>
  <c r="K59" i="108" s="1"/>
  <c r="J32" i="107"/>
  <c r="I32" i="113"/>
  <c r="K31" i="113" s="1"/>
  <c r="J32" i="113"/>
  <c r="I62" i="112"/>
  <c r="K60" i="112" s="1"/>
  <c r="J62" i="111"/>
  <c r="J32" i="111"/>
  <c r="I32" i="111"/>
  <c r="K31" i="111" s="1"/>
  <c r="J62" i="109"/>
  <c r="I32" i="109"/>
  <c r="K28" i="109" s="1"/>
  <c r="J32" i="109"/>
  <c r="I62" i="107"/>
  <c r="I32" i="107"/>
  <c r="J62" i="113"/>
  <c r="I62" i="113"/>
  <c r="K57" i="113" s="1"/>
  <c r="J62" i="112"/>
  <c r="J32" i="112"/>
  <c r="I32" i="112"/>
  <c r="K31" i="112" s="1"/>
  <c r="I62" i="111"/>
  <c r="K57" i="111" s="1"/>
  <c r="J62" i="110"/>
  <c r="J32" i="110"/>
  <c r="I32" i="110"/>
  <c r="K31" i="110" s="1"/>
  <c r="I62" i="109"/>
  <c r="K61" i="109" s="1"/>
  <c r="J62" i="108"/>
  <c r="J32" i="108"/>
  <c r="I32" i="108"/>
  <c r="K30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9" i="112" l="1"/>
  <c r="K61" i="110"/>
  <c r="K57" i="109"/>
  <c r="K31" i="109"/>
  <c r="K58" i="113"/>
  <c r="K61" i="113"/>
  <c r="K29" i="111"/>
  <c r="K27" i="111"/>
  <c r="K28" i="111"/>
  <c r="K58" i="110"/>
  <c r="K30" i="110"/>
  <c r="K29" i="110"/>
  <c r="K59" i="109"/>
  <c r="K60" i="109"/>
  <c r="K30" i="109"/>
  <c r="K27" i="109"/>
  <c r="K31" i="108"/>
  <c r="K28" i="108"/>
  <c r="K59" i="113"/>
  <c r="K60" i="113"/>
  <c r="K29" i="113"/>
  <c r="K27" i="113"/>
  <c r="K30" i="113"/>
  <c r="K28" i="113"/>
  <c r="K61" i="112"/>
  <c r="K58" i="112"/>
  <c r="K59" i="112"/>
  <c r="K57" i="112"/>
  <c r="K30" i="112"/>
  <c r="K27" i="112"/>
  <c r="K28" i="112"/>
  <c r="K61" i="111"/>
  <c r="K58" i="111"/>
  <c r="K59" i="111"/>
  <c r="K60" i="111"/>
  <c r="K30" i="111"/>
  <c r="K59" i="110"/>
  <c r="K57" i="110"/>
  <c r="K28" i="110"/>
  <c r="K27" i="110"/>
  <c r="K58" i="109"/>
  <c r="K29" i="109"/>
  <c r="K60" i="108"/>
  <c r="K58" i="108"/>
  <c r="K57" i="108"/>
  <c r="K61" i="108"/>
  <c r="K29" i="108"/>
  <c r="K27" i="108"/>
  <c r="K9" i="163"/>
  <c r="K10" i="163"/>
  <c r="K7" i="163"/>
  <c r="K8" i="163"/>
  <c r="K11" i="163"/>
  <c r="K62" i="111" l="1"/>
  <c r="K32" i="110"/>
  <c r="K62" i="113"/>
  <c r="K32" i="113"/>
  <c r="K62" i="109"/>
  <c r="K32" i="108"/>
  <c r="K62" i="108"/>
  <c r="K62" i="112"/>
  <c r="K32" i="112"/>
  <c r="K32" i="111"/>
  <c r="K62" i="110"/>
  <c r="K32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19" i="116"/>
  <c r="K18" i="116"/>
  <c r="K17" i="116"/>
  <c r="K23" i="116"/>
  <c r="K24" i="116"/>
  <c r="K25" i="116"/>
  <c r="K26" i="116"/>
  <c r="K27" i="116"/>
  <c r="K22" i="116"/>
  <c r="K16" i="116"/>
  <c r="K20" i="116"/>
  <c r="K15" i="116"/>
  <c r="K9" i="116"/>
  <c r="K10" i="116"/>
  <c r="K11" i="116"/>
  <c r="K12" i="116"/>
  <c r="K13" i="116"/>
  <c r="K8" i="116"/>
  <c r="J34" i="116"/>
  <c r="S34" i="116" s="1"/>
  <c r="I34" i="116"/>
  <c r="R34" i="116" s="1"/>
  <c r="J33" i="116"/>
  <c r="S33" i="116" s="1"/>
  <c r="I33" i="116"/>
  <c r="R33" i="116" s="1"/>
  <c r="J32" i="116"/>
  <c r="S32" i="116" s="1"/>
  <c r="I32" i="116"/>
  <c r="R32" i="116" s="1"/>
  <c r="J31" i="116"/>
  <c r="S31" i="116" s="1"/>
  <c r="I31" i="116"/>
  <c r="R31" i="116" s="1"/>
  <c r="J30" i="116"/>
  <c r="S30" i="116" s="1"/>
  <c r="I30" i="116"/>
  <c r="R30" i="116" s="1"/>
  <c r="J29" i="116"/>
  <c r="S29" i="116" s="1"/>
  <c r="E11" i="161" l="1"/>
  <c r="E11" i="162"/>
  <c r="K14" i="116"/>
  <c r="K21" i="116"/>
  <c r="J35" i="116"/>
  <c r="S35" i="116" s="1"/>
  <c r="D11" i="126"/>
  <c r="I35" i="116"/>
  <c r="R35" i="116" s="1"/>
  <c r="K28" i="116"/>
  <c r="K33" i="116" l="1"/>
  <c r="K32" i="116"/>
  <c r="K29" i="116"/>
  <c r="K30" i="116"/>
  <c r="K31" i="116"/>
  <c r="K34" i="116"/>
  <c r="K35" i="116" l="1"/>
  <c r="H55" i="113" l="1"/>
  <c r="H49" i="113"/>
  <c r="H43" i="113"/>
  <c r="H25" i="113"/>
  <c r="H19" i="113"/>
  <c r="H13" i="113"/>
  <c r="H55" i="112"/>
  <c r="H49" i="112"/>
  <c r="H43" i="112"/>
  <c r="H25" i="112"/>
  <c r="H19" i="112"/>
  <c r="H13" i="112"/>
  <c r="H55" i="111"/>
  <c r="H49" i="111"/>
  <c r="H43" i="111"/>
  <c r="H25" i="111"/>
  <c r="H19" i="111"/>
  <c r="H13" i="111"/>
  <c r="H55" i="110"/>
  <c r="H49" i="110"/>
  <c r="H43" i="110"/>
  <c r="H25" i="110"/>
  <c r="H19" i="110"/>
  <c r="H13" i="110"/>
  <c r="H55" i="109"/>
  <c r="H49" i="109"/>
  <c r="H43" i="109"/>
  <c r="H25" i="109"/>
  <c r="H19" i="109"/>
  <c r="H13" i="109"/>
  <c r="H55" i="108"/>
  <c r="H49" i="108"/>
  <c r="H43" i="108"/>
  <c r="H25" i="108"/>
  <c r="H19" i="108"/>
  <c r="H13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6" i="116"/>
  <c r="H19" i="116"/>
  <c r="H12" i="116"/>
  <c r="S21" i="122" l="1"/>
  <c r="C19" i="122" l="1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T27" i="147"/>
  <c r="S27" i="147"/>
  <c r="M27" i="147"/>
  <c r="L27" i="147"/>
  <c r="K27" i="147"/>
  <c r="F27" i="147"/>
  <c r="E31" i="107" l="1"/>
  <c r="H31" i="107" s="1"/>
  <c r="E33" i="116" l="1"/>
  <c r="F33" i="116"/>
  <c r="E32" i="116"/>
  <c r="D33" i="116"/>
  <c r="H33" i="116" l="1"/>
  <c r="F38" i="145"/>
  <c r="E38" i="145"/>
  <c r="G38" i="145" s="1"/>
  <c r="F61" i="113" l="1"/>
  <c r="E61" i="113"/>
  <c r="H61" i="113" s="1"/>
  <c r="D61" i="113"/>
  <c r="F60" i="113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D57" i="113"/>
  <c r="G55" i="113"/>
  <c r="H54" i="113"/>
  <c r="G54" i="113"/>
  <c r="H53" i="113"/>
  <c r="G53" i="113"/>
  <c r="H52" i="113"/>
  <c r="G52" i="113"/>
  <c r="H51" i="113"/>
  <c r="G51" i="113"/>
  <c r="H50" i="113"/>
  <c r="G49" i="113"/>
  <c r="H48" i="113"/>
  <c r="G48" i="113"/>
  <c r="H47" i="113"/>
  <c r="G47" i="113"/>
  <c r="H46" i="113"/>
  <c r="G46" i="113"/>
  <c r="H45" i="113"/>
  <c r="G45" i="113"/>
  <c r="H44" i="113"/>
  <c r="G43" i="113"/>
  <c r="H42" i="113"/>
  <c r="G42" i="113"/>
  <c r="H41" i="113"/>
  <c r="G41" i="113"/>
  <c r="H40" i="113"/>
  <c r="G40" i="113"/>
  <c r="H39" i="113"/>
  <c r="G39" i="113"/>
  <c r="F61" i="112"/>
  <c r="E61" i="112"/>
  <c r="H61" i="112" s="1"/>
  <c r="D61" i="112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D57" i="112"/>
  <c r="H56" i="112"/>
  <c r="G55" i="112"/>
  <c r="H54" i="112"/>
  <c r="G54" i="112"/>
  <c r="H53" i="112"/>
  <c r="G53" i="112"/>
  <c r="H52" i="112"/>
  <c r="G52" i="112"/>
  <c r="H51" i="112"/>
  <c r="G51" i="112"/>
  <c r="H50" i="112"/>
  <c r="G49" i="112"/>
  <c r="H48" i="112"/>
  <c r="G48" i="112"/>
  <c r="H47" i="112"/>
  <c r="G47" i="112"/>
  <c r="H46" i="112"/>
  <c r="G46" i="112"/>
  <c r="H45" i="112"/>
  <c r="G45" i="112"/>
  <c r="H44" i="112"/>
  <c r="G43" i="112"/>
  <c r="H42" i="112"/>
  <c r="G42" i="112"/>
  <c r="H41" i="112"/>
  <c r="G41" i="112"/>
  <c r="H40" i="112"/>
  <c r="G40" i="112"/>
  <c r="H39" i="112"/>
  <c r="G39" i="112"/>
  <c r="F61" i="111"/>
  <c r="E61" i="111"/>
  <c r="H61" i="111" s="1"/>
  <c r="D61" i="111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D57" i="111"/>
  <c r="H56" i="111"/>
  <c r="G55" i="111"/>
  <c r="H54" i="111"/>
  <c r="G54" i="111"/>
  <c r="H53" i="111"/>
  <c r="G53" i="111"/>
  <c r="H52" i="111"/>
  <c r="G52" i="111"/>
  <c r="H51" i="111"/>
  <c r="G51" i="111"/>
  <c r="H50" i="111"/>
  <c r="G49" i="111"/>
  <c r="H48" i="111"/>
  <c r="G48" i="111"/>
  <c r="H47" i="111"/>
  <c r="G47" i="111"/>
  <c r="H46" i="111"/>
  <c r="G46" i="111"/>
  <c r="H45" i="111"/>
  <c r="G45" i="111"/>
  <c r="G43" i="111"/>
  <c r="H42" i="111"/>
  <c r="G42" i="111"/>
  <c r="H41" i="111"/>
  <c r="G41" i="111"/>
  <c r="H40" i="111"/>
  <c r="G40" i="111"/>
  <c r="H39" i="111"/>
  <c r="G39" i="111"/>
  <c r="F61" i="110"/>
  <c r="E61" i="110"/>
  <c r="H61" i="110" s="1"/>
  <c r="D61" i="110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D57" i="110"/>
  <c r="H56" i="110"/>
  <c r="G55" i="110"/>
  <c r="H54" i="110"/>
  <c r="G54" i="110"/>
  <c r="H53" i="110"/>
  <c r="G53" i="110"/>
  <c r="H52" i="110"/>
  <c r="G52" i="110"/>
  <c r="H51" i="110"/>
  <c r="G51" i="110"/>
  <c r="H50" i="110"/>
  <c r="G49" i="110"/>
  <c r="H48" i="110"/>
  <c r="G48" i="110"/>
  <c r="H47" i="110"/>
  <c r="G47" i="110"/>
  <c r="H46" i="110"/>
  <c r="G46" i="110"/>
  <c r="H45" i="110"/>
  <c r="G45" i="110"/>
  <c r="H44" i="110"/>
  <c r="G43" i="110"/>
  <c r="H42" i="110"/>
  <c r="G42" i="110"/>
  <c r="H41" i="110"/>
  <c r="G41" i="110"/>
  <c r="H40" i="110"/>
  <c r="G40" i="110"/>
  <c r="H39" i="110"/>
  <c r="G39" i="110"/>
  <c r="F61" i="109"/>
  <c r="E61" i="109"/>
  <c r="H61" i="109" s="1"/>
  <c r="D61" i="109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D57" i="109"/>
  <c r="H56" i="109"/>
  <c r="G55" i="109"/>
  <c r="H54" i="109"/>
  <c r="G54" i="109"/>
  <c r="H53" i="109"/>
  <c r="G53" i="109"/>
  <c r="H52" i="109"/>
  <c r="G52" i="109"/>
  <c r="H51" i="109"/>
  <c r="G51" i="109"/>
  <c r="H50" i="109"/>
  <c r="G49" i="109"/>
  <c r="H48" i="109"/>
  <c r="G48" i="109"/>
  <c r="H47" i="109"/>
  <c r="G47" i="109"/>
  <c r="H46" i="109"/>
  <c r="G46" i="109"/>
  <c r="H45" i="109"/>
  <c r="G45" i="109"/>
  <c r="H44" i="109"/>
  <c r="G43" i="109"/>
  <c r="H42" i="109"/>
  <c r="G42" i="109"/>
  <c r="H41" i="109"/>
  <c r="G41" i="109"/>
  <c r="H40" i="109"/>
  <c r="G40" i="109"/>
  <c r="H39" i="109"/>
  <c r="G39" i="109"/>
  <c r="G41" i="108"/>
  <c r="F61" i="108"/>
  <c r="E61" i="108"/>
  <c r="H61" i="108" s="1"/>
  <c r="D61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H56" i="108"/>
  <c r="G55" i="108"/>
  <c r="H54" i="108"/>
  <c r="G54" i="108"/>
  <c r="H53" i="108"/>
  <c r="G53" i="108"/>
  <c r="H52" i="108"/>
  <c r="G52" i="108"/>
  <c r="H51" i="108"/>
  <c r="G51" i="108"/>
  <c r="H50" i="108"/>
  <c r="G49" i="108"/>
  <c r="H48" i="108"/>
  <c r="G48" i="108"/>
  <c r="H47" i="108"/>
  <c r="G47" i="108"/>
  <c r="H46" i="108"/>
  <c r="G46" i="108"/>
  <c r="H45" i="108"/>
  <c r="G45" i="108"/>
  <c r="H44" i="108"/>
  <c r="G43" i="108"/>
  <c r="H42" i="108"/>
  <c r="G42" i="108"/>
  <c r="H41" i="108"/>
  <c r="H40" i="108"/>
  <c r="G40" i="108"/>
  <c r="H39" i="108"/>
  <c r="G39" i="108"/>
  <c r="F31" i="113"/>
  <c r="E31" i="113"/>
  <c r="H31" i="113" s="1"/>
  <c r="D31" i="113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D27" i="113"/>
  <c r="H26" i="113"/>
  <c r="G25" i="113"/>
  <c r="H24" i="113"/>
  <c r="G24" i="113"/>
  <c r="H23" i="113"/>
  <c r="G23" i="113"/>
  <c r="H22" i="113"/>
  <c r="G22" i="113"/>
  <c r="H21" i="113"/>
  <c r="G21" i="113"/>
  <c r="H20" i="113"/>
  <c r="G19" i="113"/>
  <c r="H18" i="113"/>
  <c r="G18" i="113"/>
  <c r="H17" i="113"/>
  <c r="G17" i="113"/>
  <c r="H16" i="113"/>
  <c r="G16" i="113"/>
  <c r="H15" i="113"/>
  <c r="G15" i="113"/>
  <c r="H14" i="113"/>
  <c r="G13" i="113"/>
  <c r="H12" i="113"/>
  <c r="G12" i="113"/>
  <c r="H11" i="113"/>
  <c r="G11" i="113"/>
  <c r="H10" i="113"/>
  <c r="G10" i="113"/>
  <c r="H9" i="113"/>
  <c r="G9" i="113"/>
  <c r="F31" i="112"/>
  <c r="E31" i="112"/>
  <c r="H31" i="112" s="1"/>
  <c r="D31" i="112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D27" i="112"/>
  <c r="H26" i="112"/>
  <c r="G25" i="112"/>
  <c r="H24" i="112"/>
  <c r="G24" i="112"/>
  <c r="H23" i="112"/>
  <c r="G23" i="112"/>
  <c r="H22" i="112"/>
  <c r="G22" i="112"/>
  <c r="H21" i="112"/>
  <c r="G21" i="112"/>
  <c r="H20" i="112"/>
  <c r="G19" i="112"/>
  <c r="H18" i="112"/>
  <c r="G18" i="112"/>
  <c r="H17" i="112"/>
  <c r="G17" i="112"/>
  <c r="H16" i="112"/>
  <c r="G16" i="112"/>
  <c r="H15" i="112"/>
  <c r="G15" i="112"/>
  <c r="H14" i="112"/>
  <c r="G13" i="112"/>
  <c r="H12" i="112"/>
  <c r="G12" i="112"/>
  <c r="H11" i="112"/>
  <c r="G11" i="112"/>
  <c r="H10" i="112"/>
  <c r="G10" i="112"/>
  <c r="H9" i="112"/>
  <c r="G9" i="112"/>
  <c r="F31" i="111"/>
  <c r="E31" i="111"/>
  <c r="H31" i="111" s="1"/>
  <c r="D31" i="111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D27" i="111"/>
  <c r="H26" i="111"/>
  <c r="G25" i="111"/>
  <c r="H24" i="111"/>
  <c r="G24" i="111"/>
  <c r="H23" i="111"/>
  <c r="G23" i="111"/>
  <c r="H22" i="111"/>
  <c r="G22" i="111"/>
  <c r="H21" i="111"/>
  <c r="G21" i="111"/>
  <c r="H20" i="111"/>
  <c r="G19" i="111"/>
  <c r="H18" i="111"/>
  <c r="G18" i="111"/>
  <c r="H17" i="111"/>
  <c r="G17" i="111"/>
  <c r="H16" i="111"/>
  <c r="G16" i="111"/>
  <c r="H15" i="111"/>
  <c r="G15" i="111"/>
  <c r="H14" i="111"/>
  <c r="G13" i="111"/>
  <c r="H12" i="111"/>
  <c r="G12" i="111"/>
  <c r="H11" i="111"/>
  <c r="G11" i="111"/>
  <c r="H10" i="111"/>
  <c r="G10" i="111"/>
  <c r="H9" i="111"/>
  <c r="G9" i="111"/>
  <c r="F31" i="110"/>
  <c r="E31" i="110"/>
  <c r="H31" i="110" s="1"/>
  <c r="D31" i="110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D27" i="110"/>
  <c r="H26" i="110"/>
  <c r="G25" i="110"/>
  <c r="H24" i="110"/>
  <c r="G24" i="110"/>
  <c r="H23" i="110"/>
  <c r="G23" i="110"/>
  <c r="H22" i="110"/>
  <c r="G22" i="110"/>
  <c r="H21" i="110"/>
  <c r="G21" i="110"/>
  <c r="H20" i="110"/>
  <c r="G19" i="110"/>
  <c r="H18" i="110"/>
  <c r="G18" i="110"/>
  <c r="H17" i="110"/>
  <c r="G17" i="110"/>
  <c r="H16" i="110"/>
  <c r="G16" i="110"/>
  <c r="H15" i="110"/>
  <c r="G15" i="110"/>
  <c r="H14" i="110"/>
  <c r="G13" i="110"/>
  <c r="H12" i="110"/>
  <c r="G12" i="110"/>
  <c r="H11" i="110"/>
  <c r="G11" i="110"/>
  <c r="H10" i="110"/>
  <c r="G10" i="110"/>
  <c r="H9" i="110"/>
  <c r="G9" i="110"/>
  <c r="F31" i="109"/>
  <c r="E31" i="109"/>
  <c r="H31" i="109" s="1"/>
  <c r="D31" i="109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D27" i="109"/>
  <c r="H26" i="109"/>
  <c r="G25" i="109"/>
  <c r="H24" i="109"/>
  <c r="G24" i="109"/>
  <c r="H23" i="109"/>
  <c r="G23" i="109"/>
  <c r="H22" i="109"/>
  <c r="G22" i="109"/>
  <c r="H21" i="109"/>
  <c r="G21" i="109"/>
  <c r="H20" i="109"/>
  <c r="G19" i="109"/>
  <c r="H18" i="109"/>
  <c r="G18" i="109"/>
  <c r="H17" i="109"/>
  <c r="G17" i="109"/>
  <c r="H16" i="109"/>
  <c r="G16" i="109"/>
  <c r="H15" i="109"/>
  <c r="G15" i="109"/>
  <c r="H14" i="109"/>
  <c r="G13" i="109"/>
  <c r="H12" i="109"/>
  <c r="G12" i="109"/>
  <c r="H11" i="109"/>
  <c r="G11" i="109"/>
  <c r="H10" i="109"/>
  <c r="G10" i="109"/>
  <c r="H9" i="109"/>
  <c r="G9" i="109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2" i="109" l="1"/>
  <c r="G44" i="107"/>
  <c r="K44" i="107"/>
  <c r="K50" i="107"/>
  <c r="K56" i="107"/>
  <c r="K62" i="107"/>
  <c r="G44" i="112"/>
  <c r="G56" i="112"/>
  <c r="G50" i="111"/>
  <c r="G44" i="109"/>
  <c r="G56" i="109"/>
  <c r="G14" i="109"/>
  <c r="G26" i="109"/>
  <c r="G56" i="108"/>
  <c r="G20" i="113"/>
  <c r="G20" i="111"/>
  <c r="G44" i="113"/>
  <c r="G56" i="113"/>
  <c r="G50" i="113"/>
  <c r="G14" i="113"/>
  <c r="G26" i="113"/>
  <c r="G50" i="112"/>
  <c r="G26" i="112"/>
  <c r="G14" i="112"/>
  <c r="G20" i="112"/>
  <c r="G44" i="111"/>
  <c r="G56" i="111"/>
  <c r="G14" i="111"/>
  <c r="G26" i="111"/>
  <c r="G44" i="110"/>
  <c r="G56" i="110"/>
  <c r="G50" i="110"/>
  <c r="G14" i="110"/>
  <c r="G26" i="110"/>
  <c r="G20" i="110"/>
  <c r="G50" i="109"/>
  <c r="G20" i="109"/>
  <c r="G44" i="108"/>
  <c r="G50" i="108"/>
  <c r="G50" i="107"/>
  <c r="G56" i="107"/>
  <c r="E62" i="113"/>
  <c r="G57" i="113" s="1"/>
  <c r="E32" i="113"/>
  <c r="H32" i="113" s="1"/>
  <c r="D62" i="113"/>
  <c r="E62" i="112"/>
  <c r="G60" i="112" s="1"/>
  <c r="E32" i="112"/>
  <c r="G28" i="112" s="1"/>
  <c r="D62" i="111"/>
  <c r="F62" i="111"/>
  <c r="D32" i="111"/>
  <c r="F62" i="110"/>
  <c r="D62" i="110"/>
  <c r="D32" i="110"/>
  <c r="F32" i="110"/>
  <c r="F32" i="109"/>
  <c r="D32" i="109"/>
  <c r="F62" i="108"/>
  <c r="F62" i="113"/>
  <c r="F32" i="113"/>
  <c r="D32" i="113"/>
  <c r="H57" i="112"/>
  <c r="D62" i="112"/>
  <c r="F62" i="112"/>
  <c r="D32" i="112"/>
  <c r="F32" i="112"/>
  <c r="H27" i="112"/>
  <c r="E62" i="111"/>
  <c r="H62" i="111" s="1"/>
  <c r="F32" i="111"/>
  <c r="E32" i="111"/>
  <c r="G30" i="111" s="1"/>
  <c r="E62" i="110"/>
  <c r="H62" i="110" s="1"/>
  <c r="E32" i="110"/>
  <c r="G30" i="110" s="1"/>
  <c r="D62" i="109"/>
  <c r="E62" i="109"/>
  <c r="G59" i="109" s="1"/>
  <c r="E32" i="109"/>
  <c r="H32" i="109" s="1"/>
  <c r="D62" i="108"/>
  <c r="E62" i="108"/>
  <c r="H62" i="108" s="1"/>
  <c r="H57" i="113"/>
  <c r="H57" i="111"/>
  <c r="H57" i="110"/>
  <c r="H57" i="109"/>
  <c r="H27" i="113"/>
  <c r="H27" i="111"/>
  <c r="H27" i="110"/>
  <c r="H27" i="109"/>
  <c r="G57" i="112" l="1"/>
  <c r="G58" i="112"/>
  <c r="G60" i="113"/>
  <c r="G59" i="112"/>
  <c r="G61" i="112"/>
  <c r="H62" i="112"/>
  <c r="G59" i="113"/>
  <c r="G61" i="113"/>
  <c r="G58" i="108"/>
  <c r="G59" i="111"/>
  <c r="G27" i="113"/>
  <c r="G30" i="113"/>
  <c r="G30" i="112"/>
  <c r="G57" i="110"/>
  <c r="G31" i="113"/>
  <c r="G58" i="109"/>
  <c r="G61" i="109"/>
  <c r="G29" i="109"/>
  <c r="G28" i="109"/>
  <c r="G30" i="109"/>
  <c r="G31" i="109"/>
  <c r="G57" i="108"/>
  <c r="G59" i="108"/>
  <c r="G60" i="108"/>
  <c r="G61" i="108"/>
  <c r="G58" i="113"/>
  <c r="H62" i="113"/>
  <c r="G29" i="113"/>
  <c r="G28" i="113"/>
  <c r="G29" i="112"/>
  <c r="G31" i="112"/>
  <c r="G60" i="109"/>
  <c r="G57" i="109"/>
  <c r="H62" i="109"/>
  <c r="G27" i="109"/>
  <c r="H32" i="112"/>
  <c r="G27" i="112"/>
  <c r="G57" i="111"/>
  <c r="G31" i="111"/>
  <c r="H32" i="111"/>
  <c r="G59" i="110"/>
  <c r="G31" i="110"/>
  <c r="H32" i="110"/>
  <c r="G60" i="111"/>
  <c r="G61" i="111"/>
  <c r="G58" i="111"/>
  <c r="G29" i="111"/>
  <c r="G28" i="111"/>
  <c r="G27" i="111"/>
  <c r="G60" i="110"/>
  <c r="G61" i="110"/>
  <c r="G58" i="110"/>
  <c r="G29" i="110"/>
  <c r="G28" i="110"/>
  <c r="G27" i="110"/>
  <c r="G62" i="112" l="1"/>
  <c r="G62" i="113"/>
  <c r="G62" i="109"/>
  <c r="G62" i="108"/>
  <c r="G32" i="113"/>
  <c r="G62" i="110"/>
  <c r="G32" i="110"/>
  <c r="G32" i="109"/>
  <c r="G32" i="112"/>
  <c r="G62" i="111"/>
  <c r="G32" i="111"/>
  <c r="N18" i="147" l="1"/>
  <c r="G21" i="147"/>
  <c r="G18" i="147"/>
  <c r="S18" i="147"/>
  <c r="T28" i="147" s="1"/>
  <c r="S19" i="147"/>
  <c r="T29" i="147" s="1"/>
  <c r="S20" i="147"/>
  <c r="T30" i="147" s="1"/>
  <c r="S21" i="147"/>
  <c r="T31" i="147" s="1"/>
  <c r="S22" i="147"/>
  <c r="S23" i="147"/>
  <c r="S24" i="147"/>
  <c r="L18" i="147"/>
  <c r="M28" i="147" s="1"/>
  <c r="L19" i="147"/>
  <c r="M29" i="147" s="1"/>
  <c r="L20" i="147"/>
  <c r="M30" i="147" s="1"/>
  <c r="L21" i="147"/>
  <c r="M31" i="147" s="1"/>
  <c r="L22" i="147"/>
  <c r="L23" i="147"/>
  <c r="L24" i="147"/>
  <c r="F18" i="147"/>
  <c r="F28" i="147" s="1"/>
  <c r="F19" i="147"/>
  <c r="F20" i="147"/>
  <c r="F21" i="147"/>
  <c r="F22" i="147"/>
  <c r="F23" i="147"/>
  <c r="F24" i="147"/>
  <c r="F31" i="108"/>
  <c r="E31" i="108"/>
  <c r="H31" i="108" s="1"/>
  <c r="D31" i="108"/>
  <c r="F30" i="108"/>
  <c r="E30" i="108"/>
  <c r="H30" i="108" s="1"/>
  <c r="D30" i="108"/>
  <c r="F29" i="108"/>
  <c r="E29" i="108"/>
  <c r="H29" i="108" s="1"/>
  <c r="D29" i="108"/>
  <c r="F28" i="108"/>
  <c r="E28" i="108"/>
  <c r="D28" i="108"/>
  <c r="F27" i="108"/>
  <c r="E27" i="108"/>
  <c r="H27" i="108" s="1"/>
  <c r="D27" i="108"/>
  <c r="H26" i="108"/>
  <c r="H24" i="108"/>
  <c r="H23" i="108"/>
  <c r="H22" i="108"/>
  <c r="H21" i="108"/>
  <c r="H20" i="108"/>
  <c r="H18" i="108"/>
  <c r="H17" i="108"/>
  <c r="H16" i="108"/>
  <c r="H15" i="108"/>
  <c r="H14" i="108"/>
  <c r="H12" i="108"/>
  <c r="H11" i="108"/>
  <c r="H10" i="108"/>
  <c r="H9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3" i="116"/>
  <c r="G12" i="116"/>
  <c r="G11" i="116"/>
  <c r="G10" i="116"/>
  <c r="G9" i="116"/>
  <c r="G8" i="116"/>
  <c r="F32" i="108" l="1"/>
  <c r="G14" i="116"/>
  <c r="E32" i="108"/>
  <c r="H32" i="108" s="1"/>
  <c r="D62" i="107"/>
  <c r="F62" i="107"/>
  <c r="H28" i="108"/>
  <c r="D32" i="108"/>
  <c r="E62" i="107"/>
  <c r="G59" i="107" s="1"/>
  <c r="G29" i="108" l="1"/>
  <c r="G31" i="108"/>
  <c r="G28" i="108"/>
  <c r="G27" i="108"/>
  <c r="G30" i="108"/>
  <c r="G60" i="107"/>
  <c r="H62" i="107"/>
  <c r="G57" i="107"/>
  <c r="G61" i="107"/>
  <c r="G58" i="107"/>
  <c r="G32" i="108" l="1"/>
  <c r="G62" i="107"/>
  <c r="H39" i="145"/>
  <c r="H40" i="145"/>
  <c r="B39" i="145"/>
  <c r="I20" i="122" l="1"/>
  <c r="B20" i="122"/>
  <c r="C27" i="147" l="1"/>
  <c r="D27" i="147"/>
  <c r="E27" i="147"/>
  <c r="B27" i="147"/>
  <c r="R18" i="128" l="1"/>
  <c r="P20" i="128"/>
  <c r="R20" i="128"/>
  <c r="B18" i="128"/>
  <c r="C18" i="128"/>
  <c r="D18" i="128"/>
  <c r="E18" i="128"/>
  <c r="F18" i="128"/>
  <c r="G18" i="128"/>
  <c r="H18" i="128"/>
  <c r="I18" i="128"/>
  <c r="J18" i="128"/>
  <c r="K18" i="128"/>
  <c r="L18" i="128"/>
  <c r="M18" i="128"/>
  <c r="N18" i="128"/>
  <c r="O18" i="128"/>
  <c r="P18" i="128"/>
  <c r="Q18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R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Q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P21" i="128"/>
  <c r="Q21" i="128"/>
  <c r="R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R23" i="128"/>
  <c r="B19" i="147"/>
  <c r="C19" i="147"/>
  <c r="D19" i="147"/>
  <c r="E19" i="147"/>
  <c r="G19" i="147"/>
  <c r="H19" i="147"/>
  <c r="I29" i="147" s="1"/>
  <c r="J29" i="147"/>
  <c r="J19" i="147"/>
  <c r="K29" i="147" s="1"/>
  <c r="K19" i="147"/>
  <c r="L29" i="147" s="1"/>
  <c r="M19" i="147"/>
  <c r="N19" i="147"/>
  <c r="O19" i="147"/>
  <c r="P29" i="147" s="1"/>
  <c r="P19" i="147"/>
  <c r="Q29" i="147" s="1"/>
  <c r="Q19" i="147"/>
  <c r="R29" i="147" s="1"/>
  <c r="R19" i="147"/>
  <c r="S29" i="147" s="1"/>
  <c r="T19" i="147"/>
  <c r="U19" i="147"/>
  <c r="B20" i="147"/>
  <c r="C20" i="147"/>
  <c r="D20" i="147"/>
  <c r="E20" i="147"/>
  <c r="G20" i="147"/>
  <c r="I30" i="147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G22" i="147"/>
  <c r="H22" i="147"/>
  <c r="I22" i="147"/>
  <c r="J22" i="147"/>
  <c r="K22" i="147"/>
  <c r="M22" i="147"/>
  <c r="N22" i="147"/>
  <c r="O22" i="147"/>
  <c r="P22" i="147"/>
  <c r="Q22" i="147"/>
  <c r="R22" i="147"/>
  <c r="T22" i="147"/>
  <c r="U22" i="147"/>
  <c r="C23" i="147"/>
  <c r="D23" i="147"/>
  <c r="E23" i="147"/>
  <c r="G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R22" i="128" l="1"/>
  <c r="H37" i="145"/>
  <c r="J37" i="145"/>
  <c r="D37" i="145"/>
  <c r="F20" i="140" l="1"/>
  <c r="F20" i="139"/>
  <c r="F20" i="120"/>
  <c r="F18" i="140"/>
  <c r="F18" i="139"/>
  <c r="F18" i="120"/>
  <c r="F16" i="140"/>
  <c r="F16" i="139"/>
  <c r="F16" i="120"/>
  <c r="F14" i="140"/>
  <c r="F14" i="139"/>
  <c r="F14" i="120"/>
  <c r="F12" i="140"/>
  <c r="F12" i="139"/>
  <c r="F12" i="120"/>
  <c r="F10" i="140"/>
  <c r="F10" i="120"/>
  <c r="F18" i="141" l="1"/>
  <c r="F10" i="141"/>
  <c r="F10" i="139"/>
  <c r="F16" i="141" l="1"/>
  <c r="F20" i="141"/>
  <c r="F12" i="141"/>
  <c r="F14" i="141"/>
  <c r="G16" i="116" l="1"/>
  <c r="G17" i="116"/>
  <c r="G18" i="116"/>
  <c r="G19" i="116"/>
  <c r="G20" i="116"/>
  <c r="G15" i="116"/>
  <c r="G21" i="116" l="1"/>
  <c r="C18" i="147" l="1"/>
  <c r="C28" i="147" s="1"/>
  <c r="D18" i="147"/>
  <c r="D28" i="147" s="1"/>
  <c r="E18" i="147"/>
  <c r="E28" i="147" s="1"/>
  <c r="B18" i="147"/>
  <c r="B28" i="147" s="1"/>
  <c r="G8" i="141" l="1"/>
  <c r="H8" i="141"/>
  <c r="I8" i="141"/>
  <c r="J8" i="141"/>
  <c r="G9" i="14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7" i="141"/>
  <c r="J7" i="141"/>
  <c r="I7" i="141"/>
  <c r="H7" i="141"/>
  <c r="K18" i="141" l="1"/>
  <c r="K16" i="141"/>
  <c r="K8" i="141"/>
  <c r="K13" i="141"/>
  <c r="K11" i="141"/>
  <c r="K23" i="141"/>
  <c r="K21" i="141"/>
  <c r="K19" i="141"/>
  <c r="K17" i="141"/>
  <c r="K14" i="141"/>
  <c r="K22" i="141"/>
  <c r="K15" i="141"/>
  <c r="K12" i="141"/>
  <c r="K10" i="141"/>
  <c r="K9" i="141"/>
  <c r="K20" i="141"/>
  <c r="K7" i="141"/>
  <c r="C10" i="141" l="1"/>
  <c r="D10" i="141"/>
  <c r="C12" i="141"/>
  <c r="D12" i="141"/>
  <c r="C14" i="141"/>
  <c r="D14" i="141"/>
  <c r="C16" i="141"/>
  <c r="D16" i="141"/>
  <c r="C18" i="141"/>
  <c r="D18" i="141"/>
  <c r="C20" i="141"/>
  <c r="D20" i="141"/>
  <c r="C7" i="140"/>
  <c r="D7" i="140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B7" i="140"/>
  <c r="C7" i="139"/>
  <c r="D7" i="139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B7" i="139"/>
  <c r="C7" i="120"/>
  <c r="D7" i="120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7" i="120"/>
  <c r="B21" i="120" l="1"/>
  <c r="D21" i="120"/>
  <c r="E7" i="120" s="1"/>
  <c r="C21" i="120"/>
  <c r="Q27" i="147" l="1"/>
  <c r="R27" i="147"/>
  <c r="P27" i="147"/>
  <c r="O29" i="147"/>
  <c r="O30" i="147"/>
  <c r="O31" i="147"/>
  <c r="O28" i="147"/>
  <c r="J27" i="147"/>
  <c r="I27" i="147"/>
  <c r="H29" i="147"/>
  <c r="H30" i="147"/>
  <c r="H31" i="147"/>
  <c r="H28" i="147"/>
  <c r="T18" i="147" l="1"/>
  <c r="M18" i="147"/>
  <c r="R18" i="147"/>
  <c r="S28" i="147" s="1"/>
  <c r="Q18" i="147"/>
  <c r="R28" i="147" s="1"/>
  <c r="P18" i="147"/>
  <c r="Q28" i="147" s="1"/>
  <c r="O18" i="147"/>
  <c r="P28" i="147" s="1"/>
  <c r="K18" i="147"/>
  <c r="L28" i="147" s="1"/>
  <c r="J18" i="147"/>
  <c r="K28" i="147" s="1"/>
  <c r="I18" i="147"/>
  <c r="J28" i="147" s="1"/>
  <c r="H18" i="147"/>
  <c r="I28" i="147" s="1"/>
  <c r="U18" i="147" l="1"/>
  <c r="K6" i="146" l="1"/>
  <c r="H6" i="146" l="1"/>
  <c r="M6" i="146"/>
  <c r="I6" i="146"/>
  <c r="C6" i="146"/>
  <c r="E6" i="146"/>
  <c r="E39" i="145"/>
  <c r="F45" i="145"/>
  <c r="J40" i="145"/>
  <c r="I40" i="145"/>
  <c r="I47" i="145"/>
  <c r="I39" i="145"/>
  <c r="I46" i="145"/>
  <c r="I38" i="145"/>
  <c r="H38" i="145"/>
  <c r="E40" i="145"/>
  <c r="F47" i="145" s="1"/>
  <c r="F39" i="145"/>
  <c r="D40" i="145"/>
  <c r="C38" i="145"/>
  <c r="C39" i="145"/>
  <c r="C40" i="145"/>
  <c r="B40" i="145"/>
  <c r="C47" i="145" s="1"/>
  <c r="C46" i="145"/>
  <c r="B38" i="145"/>
  <c r="I37" i="145"/>
  <c r="F37" i="145"/>
  <c r="E37" i="145"/>
  <c r="C37" i="145"/>
  <c r="B37" i="145"/>
  <c r="H41" i="145"/>
  <c r="E41" i="145"/>
  <c r="H29" i="179" l="1"/>
  <c r="H30" i="179"/>
  <c r="G39" i="145"/>
  <c r="E30" i="179"/>
  <c r="C45" i="145"/>
  <c r="E29" i="179"/>
  <c r="I45" i="145"/>
  <c r="J38" i="145"/>
  <c r="D39" i="145"/>
  <c r="J39" i="145"/>
  <c r="D38" i="145"/>
  <c r="L6" i="146"/>
  <c r="F6" i="146"/>
  <c r="J6" i="146"/>
  <c r="F46" i="145"/>
  <c r="I4" i="113"/>
  <c r="I4" i="112"/>
  <c r="I4" i="111"/>
  <c r="I4" i="110"/>
  <c r="I4" i="109"/>
  <c r="I4" i="108"/>
  <c r="I4" i="107"/>
  <c r="K5" i="105"/>
  <c r="J5" i="105"/>
  <c r="I5" i="105"/>
  <c r="H5" i="105"/>
  <c r="A38" i="116"/>
  <c r="I4" i="116"/>
  <c r="D21" i="140"/>
  <c r="D23" i="140" s="1"/>
  <c r="C21" i="140"/>
  <c r="C23" i="140" s="1"/>
  <c r="B21" i="140"/>
  <c r="B23" i="140" s="1"/>
  <c r="D21" i="139"/>
  <c r="D23" i="139" s="1"/>
  <c r="C21" i="139"/>
  <c r="C23" i="139" s="1"/>
  <c r="B21" i="139"/>
  <c r="B23" i="139" s="1"/>
  <c r="E7" i="140" l="1"/>
  <c r="E9" i="140"/>
  <c r="E14" i="140"/>
  <c r="E19" i="140"/>
  <c r="E10" i="140"/>
  <c r="E15" i="140"/>
  <c r="E13" i="140"/>
  <c r="E18" i="140"/>
  <c r="E11" i="140"/>
  <c r="E17" i="140"/>
  <c r="E10" i="139"/>
  <c r="E11" i="139"/>
  <c r="E19" i="139"/>
  <c r="E9" i="139"/>
  <c r="E13" i="139"/>
  <c r="E17" i="139"/>
  <c r="E14" i="139"/>
  <c r="E18" i="139"/>
  <c r="E7" i="139"/>
  <c r="E15" i="139"/>
  <c r="E8" i="139"/>
  <c r="E12" i="139"/>
  <c r="E16" i="139"/>
  <c r="E8" i="140"/>
  <c r="E12" i="140"/>
  <c r="E16" i="140"/>
  <c r="E20" i="140"/>
  <c r="E20" i="139"/>
  <c r="G38" i="116"/>
  <c r="J42" i="116"/>
  <c r="I42" i="116"/>
  <c r="H45" i="116"/>
  <c r="H44" i="116"/>
  <c r="H43" i="116"/>
  <c r="D42" i="116"/>
  <c r="C42" i="116"/>
  <c r="B45" i="116"/>
  <c r="B44" i="116"/>
  <c r="B43" i="116"/>
  <c r="D32" i="133"/>
  <c r="D33" i="133"/>
  <c r="D34" i="133"/>
  <c r="F30" i="133"/>
  <c r="G30" i="133"/>
  <c r="H30" i="133"/>
  <c r="E30" i="133"/>
  <c r="D31" i="133"/>
  <c r="C19" i="133"/>
  <c r="F33" i="133" s="1"/>
  <c r="K22" i="133"/>
  <c r="K18" i="133"/>
  <c r="F18" i="133"/>
  <c r="F22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J21" i="133"/>
  <c r="I21" i="133"/>
  <c r="H21" i="133"/>
  <c r="G21" i="133"/>
  <c r="E21" i="133"/>
  <c r="D21" i="133"/>
  <c r="C21" i="133"/>
  <c r="B21" i="133"/>
  <c r="K20" i="133"/>
  <c r="J20" i="133"/>
  <c r="I20" i="133"/>
  <c r="H20" i="133"/>
  <c r="G20" i="133"/>
  <c r="E20" i="133"/>
  <c r="H34" i="133" s="1"/>
  <c r="D20" i="133"/>
  <c r="G34" i="133" s="1"/>
  <c r="C20" i="133"/>
  <c r="F34" i="133" s="1"/>
  <c r="B20" i="133"/>
  <c r="E34" i="133" s="1"/>
  <c r="J19" i="133"/>
  <c r="I19" i="133"/>
  <c r="H19" i="133"/>
  <c r="G19" i="133"/>
  <c r="E19" i="133"/>
  <c r="H33" i="133" s="1"/>
  <c r="D19" i="133"/>
  <c r="G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J17" i="133"/>
  <c r="I17" i="133"/>
  <c r="H17" i="133"/>
  <c r="G17" i="133"/>
  <c r="E17" i="133"/>
  <c r="H31" i="133" s="1"/>
  <c r="D17" i="133"/>
  <c r="G31" i="133" s="1"/>
  <c r="C17" i="133"/>
  <c r="F31" i="133" s="1"/>
  <c r="B17" i="133"/>
  <c r="E31" i="133" s="1"/>
  <c r="F20" i="133" l="1"/>
  <c r="E21" i="139"/>
  <c r="E21" i="140"/>
  <c r="K23" i="133"/>
  <c r="K21" i="133"/>
  <c r="K19" i="133"/>
  <c r="K17" i="133"/>
  <c r="F19" i="133"/>
  <c r="F23" i="133"/>
  <c r="F17" i="133"/>
  <c r="F21" i="133"/>
  <c r="B17" i="128"/>
  <c r="R17" i="128"/>
  <c r="Q17" i="128"/>
  <c r="P17" i="128"/>
  <c r="O17" i="128"/>
  <c r="N17" i="128"/>
  <c r="M17" i="128"/>
  <c r="L17" i="128"/>
  <c r="K17" i="128"/>
  <c r="J17" i="128"/>
  <c r="I17" i="128"/>
  <c r="H17" i="128"/>
  <c r="G17" i="128"/>
  <c r="F17" i="128"/>
  <c r="E17" i="128"/>
  <c r="D17" i="128"/>
  <c r="C17" i="128"/>
  <c r="C24" i="122" l="1"/>
  <c r="C23" i="122"/>
  <c r="C22" i="122"/>
  <c r="C21" i="122"/>
  <c r="C20" i="122"/>
  <c r="C18" i="122"/>
  <c r="S24" i="122"/>
  <c r="R24" i="122"/>
  <c r="Q24" i="122"/>
  <c r="N24" i="122"/>
  <c r="M24" i="122"/>
  <c r="L24" i="122"/>
  <c r="K24" i="122"/>
  <c r="S23" i="122"/>
  <c r="R23" i="122"/>
  <c r="Q23" i="122"/>
  <c r="P23" i="122"/>
  <c r="N23" i="122"/>
  <c r="M23" i="122"/>
  <c r="L23" i="122"/>
  <c r="K23" i="122"/>
  <c r="S22" i="122"/>
  <c r="R22" i="122"/>
  <c r="Q22" i="122"/>
  <c r="N22" i="122"/>
  <c r="M22" i="122"/>
  <c r="L22" i="122"/>
  <c r="K22" i="122"/>
  <c r="R21" i="122"/>
  <c r="Q21" i="122"/>
  <c r="N21" i="122"/>
  <c r="M21" i="122"/>
  <c r="L21" i="122"/>
  <c r="K21" i="122"/>
  <c r="S20" i="122"/>
  <c r="R20" i="122"/>
  <c r="Q20" i="122"/>
  <c r="N20" i="122"/>
  <c r="M20" i="122"/>
  <c r="L20" i="122"/>
  <c r="K20" i="122"/>
  <c r="S19" i="122"/>
  <c r="R19" i="122"/>
  <c r="Q19" i="122"/>
  <c r="P19" i="122"/>
  <c r="N19" i="122"/>
  <c r="M19" i="122"/>
  <c r="L19" i="122"/>
  <c r="K19" i="122"/>
  <c r="S18" i="122"/>
  <c r="Q18" i="122"/>
  <c r="N18" i="122"/>
  <c r="M18" i="122"/>
  <c r="K18" i="122"/>
  <c r="P21" i="122"/>
  <c r="O21" i="122"/>
  <c r="P20" i="122"/>
  <c r="O20" i="122"/>
  <c r="O23" i="122"/>
  <c r="P24" i="122"/>
  <c r="O24" i="122"/>
  <c r="P22" i="122"/>
  <c r="O22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J21" i="122"/>
  <c r="I21" i="122"/>
  <c r="H21" i="122"/>
  <c r="E21" i="122"/>
  <c r="D21" i="122"/>
  <c r="B21" i="122"/>
  <c r="J20" i="122"/>
  <c r="H20" i="122"/>
  <c r="E20" i="122"/>
  <c r="D20" i="122"/>
  <c r="J19" i="122"/>
  <c r="I19" i="122"/>
  <c r="H19" i="122"/>
  <c r="E19" i="122"/>
  <c r="D19" i="122"/>
  <c r="J18" i="122"/>
  <c r="I18" i="122"/>
  <c r="H18" i="122"/>
  <c r="E18" i="122"/>
  <c r="G21" i="122"/>
  <c r="G20" i="122"/>
  <c r="G19" i="122"/>
  <c r="G24" i="122"/>
  <c r="O18" i="122" l="1"/>
  <c r="P18" i="122"/>
  <c r="F24" i="122"/>
  <c r="G22" i="122"/>
  <c r="F19" i="122"/>
  <c r="F21" i="122"/>
  <c r="F23" i="122"/>
  <c r="G23" i="122"/>
  <c r="F18" i="122"/>
  <c r="F20" i="122"/>
  <c r="F22" i="122"/>
  <c r="B23" i="120" l="1"/>
  <c r="C23" i="120"/>
  <c r="E10" i="120" l="1"/>
  <c r="E13" i="120"/>
  <c r="E20" i="120"/>
  <c r="E19" i="120"/>
  <c r="E12" i="120"/>
  <c r="E17" i="120"/>
  <c r="E9" i="120"/>
  <c r="D23" i="120"/>
  <c r="E15" i="120"/>
  <c r="E8" i="120"/>
  <c r="E16" i="120"/>
  <c r="E11" i="120"/>
  <c r="E18" i="120"/>
  <c r="E14" i="120"/>
  <c r="E21" i="120" l="1"/>
  <c r="E30" i="116"/>
  <c r="F34" i="116" l="1"/>
  <c r="E34" i="116"/>
  <c r="F30" i="116"/>
  <c r="E31" i="116"/>
  <c r="F31" i="116"/>
  <c r="F32" i="116"/>
  <c r="F29" i="116"/>
  <c r="D30" i="116"/>
  <c r="D31" i="116"/>
  <c r="D32" i="116"/>
  <c r="D29" i="116"/>
  <c r="E29" i="116"/>
  <c r="H27" i="116"/>
  <c r="F22" i="140" s="1"/>
  <c r="D45" i="116"/>
  <c r="H25" i="116"/>
  <c r="H24" i="116"/>
  <c r="H23" i="116"/>
  <c r="H22" i="116"/>
  <c r="H20" i="116"/>
  <c r="F22" i="139" s="1"/>
  <c r="D44" i="116"/>
  <c r="H18" i="116"/>
  <c r="H17" i="116"/>
  <c r="H16" i="116"/>
  <c r="H15" i="116"/>
  <c r="H9" i="116"/>
  <c r="H10" i="116"/>
  <c r="H11" i="116"/>
  <c r="F22" i="120"/>
  <c r="H8" i="116"/>
  <c r="C22" i="141" l="1"/>
  <c r="D22" i="141"/>
  <c r="E35" i="116"/>
  <c r="D35" i="116"/>
  <c r="E38" i="179" s="1"/>
  <c r="F35" i="116"/>
  <c r="H34" i="116"/>
  <c r="F22" i="141" s="1"/>
  <c r="H30" i="116"/>
  <c r="H32" i="116"/>
  <c r="H21" i="116"/>
  <c r="F11" i="161" s="1"/>
  <c r="C44" i="116"/>
  <c r="H31" i="116"/>
  <c r="H29" i="116"/>
  <c r="D11" i="163" l="1"/>
  <c r="B11" i="163"/>
  <c r="C11" i="163"/>
  <c r="E10" i="163" s="1"/>
  <c r="E36" i="179" s="1"/>
  <c r="F23" i="139"/>
  <c r="G23" i="116"/>
  <c r="G27" i="116"/>
  <c r="G24" i="116"/>
  <c r="G22" i="116"/>
  <c r="G25" i="116"/>
  <c r="G26" i="116"/>
  <c r="D43" i="116"/>
  <c r="D46" i="116" s="1"/>
  <c r="J43" i="116"/>
  <c r="J44" i="116"/>
  <c r="J45" i="116"/>
  <c r="H28" i="116"/>
  <c r="F11" i="162" s="1"/>
  <c r="C45" i="116"/>
  <c r="C43" i="116"/>
  <c r="F11" i="126"/>
  <c r="E7" i="163" l="1"/>
  <c r="E33" i="179" s="1"/>
  <c r="E9" i="163"/>
  <c r="E35" i="179" s="1"/>
  <c r="E8" i="163"/>
  <c r="G28" i="116"/>
  <c r="F23" i="140"/>
  <c r="C46" i="116"/>
  <c r="I43" i="116"/>
  <c r="G30" i="116"/>
  <c r="G32" i="116"/>
  <c r="G34" i="116"/>
  <c r="G29" i="116"/>
  <c r="G31" i="116"/>
  <c r="G33" i="116"/>
  <c r="J46" i="116"/>
  <c r="H35" i="116"/>
  <c r="F11" i="163" s="1"/>
  <c r="I45" i="116"/>
  <c r="I44" i="116"/>
  <c r="E11" i="163" l="1"/>
  <c r="E34" i="179"/>
  <c r="G35" i="116"/>
  <c r="F23" i="141"/>
  <c r="I46" i="116"/>
  <c r="F15" i="140"/>
  <c r="F15" i="139"/>
  <c r="F15" i="120"/>
  <c r="F13" i="140"/>
  <c r="F13" i="139"/>
  <c r="F13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7" i="141" s="1"/>
  <c r="E32" i="107"/>
  <c r="B15" i="141"/>
  <c r="D15" i="141"/>
  <c r="C9" i="141"/>
  <c r="B8" i="141"/>
  <c r="B17" i="141"/>
  <c r="B13" i="141"/>
  <c r="D13" i="141"/>
  <c r="D19" i="141"/>
  <c r="B18" i="141"/>
  <c r="D17" i="141"/>
  <c r="B16" i="141"/>
  <c r="B14" i="141"/>
  <c r="B12" i="141"/>
  <c r="D11" i="141"/>
  <c r="B11" i="141"/>
  <c r="F11" i="141"/>
  <c r="C11" i="141"/>
  <c r="B10" i="141"/>
  <c r="D9" i="141"/>
  <c r="B9" i="141"/>
  <c r="D8" i="141"/>
  <c r="F8" i="140"/>
  <c r="B19" i="141"/>
  <c r="B20" i="141"/>
  <c r="F19" i="120"/>
  <c r="F19" i="139"/>
  <c r="F19" i="140"/>
  <c r="C19" i="141"/>
  <c r="F17" i="120"/>
  <c r="F17" i="139"/>
  <c r="F17" i="140"/>
  <c r="F11" i="120"/>
  <c r="F11" i="139"/>
  <c r="F11" i="140"/>
  <c r="F9" i="120"/>
  <c r="F9" i="139"/>
  <c r="F9" i="140"/>
  <c r="D7" i="141"/>
  <c r="F8" i="139"/>
  <c r="F8" i="120"/>
  <c r="H18" i="107"/>
  <c r="H12" i="107"/>
  <c r="H24" i="107"/>
  <c r="H27" i="107"/>
  <c r="H11" i="107"/>
  <c r="H17" i="107"/>
  <c r="H23" i="107"/>
  <c r="H26" i="107"/>
  <c r="F7" i="140" s="1"/>
  <c r="H28" i="107"/>
  <c r="H10" i="107"/>
  <c r="F7" i="120"/>
  <c r="H16" i="107"/>
  <c r="H20" i="107"/>
  <c r="F7" i="139" s="1"/>
  <c r="H22" i="107"/>
  <c r="H29" i="107"/>
  <c r="H15" i="107"/>
  <c r="H21" i="107"/>
  <c r="H30" i="107"/>
  <c r="H32" i="107" l="1"/>
  <c r="F7" i="141" s="1"/>
  <c r="G31" i="107"/>
  <c r="C7" i="141"/>
  <c r="F9" i="141"/>
  <c r="F8" i="141"/>
  <c r="F17" i="141"/>
  <c r="C17" i="141"/>
  <c r="F15" i="141"/>
  <c r="C15" i="141"/>
  <c r="B21" i="141"/>
  <c r="B23" i="141" s="1"/>
  <c r="F13" i="141"/>
  <c r="C13" i="141"/>
  <c r="D21" i="141"/>
  <c r="E8" i="141" s="1"/>
  <c r="C8" i="141"/>
  <c r="F19" i="141"/>
  <c r="G28" i="107"/>
  <c r="G30" i="107"/>
  <c r="G29" i="107"/>
  <c r="G27" i="107"/>
  <c r="G32" i="107" l="1"/>
  <c r="C21" i="141"/>
  <c r="C23" i="141" s="1"/>
  <c r="E17" i="141"/>
  <c r="E7" i="141"/>
  <c r="E18" i="141"/>
  <c r="E13" i="141"/>
  <c r="E14" i="141"/>
  <c r="E12" i="141"/>
  <c r="E15" i="141"/>
  <c r="E11" i="141"/>
  <c r="E10" i="141"/>
  <c r="E16" i="141"/>
  <c r="E9" i="141"/>
  <c r="E19" i="141"/>
  <c r="E20" i="141"/>
  <c r="D23" i="141"/>
  <c r="E21" i="141" l="1"/>
</calcChain>
</file>

<file path=xl/sharedStrings.xml><?xml version="1.0" encoding="utf-8"?>
<sst xmlns="http://schemas.openxmlformats.org/spreadsheetml/2006/main" count="1544" uniqueCount="325">
  <si>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</si>
  <si>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</si>
  <si>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</si>
  <si>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</si>
  <si>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</si>
  <si>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</si>
  <si>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</si>
  <si>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</si>
  <si>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</si>
  <si>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</si>
  <si>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</si>
  <si>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</si>
  <si>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</si>
  <si>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</si>
  <si>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</si>
  <si>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</si>
  <si>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</si>
  <si>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</si>
  <si>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</si>
  <si>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</si>
  <si>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</si>
  <si>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</si>
  <si>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</si>
  <si>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</si>
  <si>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</si>
  <si>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</si>
  <si>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</si>
  <si>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</si>
  <si>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</si>
  <si>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</si>
  <si>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</si>
  <si>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</si>
  <si>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</si>
  <si>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</si>
  <si>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</si>
  <si>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</si>
  <si>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</si>
  <si>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</si>
  <si>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</si>
  <si>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</si>
  <si>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</si>
  <si>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</si>
  <si>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</si>
  <si>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</si>
  <si>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</si>
  <si>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</si>
  <si>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</si>
  <si>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I. čtvrtletí</t>
  </si>
  <si>
    <t>Tok plynu do/z plynárenské soustavy ČR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</si>
  <si>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</si>
  <si>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</si>
  <si>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</si>
  <si>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</si>
  <si>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</si>
  <si>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</si>
  <si>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</si>
  <si>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</si>
  <si>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</si>
  <si>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</si>
  <si>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</si>
  <si>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 xml:space="preserve">       Průměrná teplota ovzduší podle krajů (°C)</t>
  </si>
  <si>
    <t>Průměr</t>
  </si>
  <si>
    <t>III. čtvrtletí</t>
  </si>
  <si>
    <t>Spotřeba plynu
v ČR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</si>
  <si>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</si>
  <si>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</si>
  <si>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</si>
  <si>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</si>
  <si>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</si>
  <si>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</si>
  <si>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</si>
  <si>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</si>
  <si>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</si>
  <si>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</si>
  <si>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</si>
  <si>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</si>
  <si>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</si>
  <si>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</si>
  <si>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</si>
  <si>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</si>
  <si>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</si>
  <si>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Ostatní společnosti</t>
  </si>
  <si>
    <t>zákazníci připojeni přímo k PS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</si>
  <si>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</si>
  <si>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</si>
  <si>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</si>
  <si>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</si>
  <si>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</si>
  <si>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</si>
  <si>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</si>
  <si>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</si>
  <si>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OP+VS+PKS</t>
  </si>
  <si>
    <t xml:space="preserve"> OP+VS+PKS</t>
  </si>
  <si>
    <t>VS+PKS</t>
  </si>
  <si>
    <t>Bilanční rozdíl v PS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</si>
  <si>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</si>
  <si>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</si>
  <si>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</si>
  <si>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</si>
  <si>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</si>
  <si>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</si>
  <si>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</si>
  <si>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</si>
  <si>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</si>
  <si>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</si>
  <si>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</si>
  <si>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</si>
  <si>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</si>
  <si>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</si>
  <si>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</si>
  <si>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</si>
  <si>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</si>
  <si>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</si>
  <si>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</si>
  <si>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</si>
  <si>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</si>
  <si>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</si>
  <si>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</si>
  <si>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</si>
  <si>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</si>
  <si>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</si>
  <si>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</si>
  <si>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</si>
  <si>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</si>
  <si>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</si>
  <si>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</si>
  <si>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</si>
  <si>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</si>
  <si>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</si>
  <si>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</si>
  <si>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</si>
  <si>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</si>
  <si>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</si>
  <si>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</si>
  <si>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</si>
  <si>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</si>
  <si>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</si>
  <si>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</si>
  <si>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</si>
  <si>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</si>
  <si>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</si>
  <si>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</si>
  <si>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</si>
  <si>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</si>
  <si>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</si>
  <si>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</si>
  <si>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</si>
  <si>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</si>
  <si>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</si>
  <si>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</si>
  <si>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</si>
  <si>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Spotřeba plynu 
na výrobu 
elektřiny</t>
  </si>
  <si>
    <t>Skutečná spotřeba 
plynu v ČR</t>
  </si>
  <si>
    <t>Přepočtená spotřeba 
plynu v ČR</t>
  </si>
  <si>
    <t>Teplota ovzduší v ČR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</si>
  <si>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</si>
  <si>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</si>
  <si>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</si>
  <si>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</si>
  <si>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</si>
  <si>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</si>
  <si>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</si>
  <si>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</si>
  <si>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</si>
  <si>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</si>
  <si>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</si>
  <si>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</si>
  <si>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</si>
  <si>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</si>
  <si>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</si>
  <si>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</si>
  <si>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</si>
  <si>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</si>
  <si>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</si>
  <si>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</si>
  <si>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</si>
  <si>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</si>
  <si>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Mod. spotřeba při 0°C</t>
  </si>
  <si>
    <t>Mod. spotřeba při -12°C</t>
  </si>
  <si>
    <t>Průměrná teplota</t>
  </si>
  <si>
    <t>Kategorie</t>
  </si>
  <si>
    <t>Počet 
zákazníků</t>
  </si>
  <si>
    <t>Teplota ovzduší</t>
  </si>
  <si>
    <t xml:space="preserve">                           Kraje</t>
  </si>
  <si>
    <t>Přepravní soustava a zásobníky plynu ČR</t>
  </si>
  <si>
    <t>Bilanční rozdíl
v přepravní soustavě</t>
  </si>
  <si>
    <t>saldo
ze/do ZP</t>
  </si>
  <si>
    <t>saldo
do/z ČR</t>
  </si>
  <si>
    <t>Tok plynu do/z
plynárenské soustavy ČR</t>
  </si>
  <si>
    <t>Tok plynu ze/do ZP,
které náleží do PLS ČR</t>
  </si>
  <si>
    <t>Spotřeba plynu [MWh]</t>
  </si>
  <si>
    <t>připojena 
k RDS</t>
  </si>
  <si>
    <t>připojena 
k LDS</t>
  </si>
  <si>
    <t>Do ČR</t>
  </si>
  <si>
    <t>Z ČR</t>
  </si>
  <si>
    <t>Ze ZP</t>
  </si>
  <si>
    <t>Do ZP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</si>
  <si>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</si>
  <si>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</si>
  <si>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NET4GAS, s.r.o. (provozovatel přepravní plynárenské soustavy)</t>
  </si>
  <si>
    <t>±1,0</t>
  </si>
  <si>
    <t>MND ES</t>
  </si>
  <si>
    <t>Společnost MND Energy Storage a.s. (provozovatel zásobníku plynu)</t>
  </si>
  <si>
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</t>
  </si>
  <si>
    <t>Tok plynu do plynárenské soustavy ČR</t>
  </si>
  <si>
    <t>/</t>
  </si>
  <si>
    <t>GWh</t>
  </si>
  <si>
    <t>Tok plynu z plynárenské soustavy ČR</t>
  </si>
  <si>
    <t>Tok plynu ze zásobníků plynu ČR (těžba)</t>
  </si>
  <si>
    <t>Tok plynu do zásobníků plynu ČR (vtláčení)</t>
  </si>
  <si>
    <t>Stav provozních zásob u zásobníků plynu ČR na konci čtrvrtletí</t>
  </si>
  <si>
    <t>Dodávky od výrobců plynu vč. vlastní spotřeby (vnitrostátní těžba)</t>
  </si>
  <si>
    <t>Skutečná spotřeba plynu v ČR</t>
  </si>
  <si>
    <t>Meziroční změna skutečné spotřeby plynu (nárůst +, pokles -)</t>
  </si>
  <si>
    <t>%</t>
  </si>
  <si>
    <t>Přepočtená spotřeba plynu v ČR</t>
  </si>
  <si>
    <t>Meziroční změna přepočtené spotřeby plynu (nárůst +, pokles -)</t>
  </si>
  <si>
    <t>Průměrná teplota za celé čtvrtletí</t>
  </si>
  <si>
    <t>°C</t>
  </si>
  <si>
    <t>Dlouhodobý teplotní normál</t>
  </si>
  <si>
    <t>Odchylka od dlouhodobého teplotního normálu</t>
  </si>
  <si>
    <t>Maximální denní spotřeba plynu v ČR</t>
  </si>
  <si>
    <t>Minimální denní spotřeba plynu v ČR</t>
  </si>
  <si>
    <t>Podíl / meziroční změna u společnosti GasNet</t>
  </si>
  <si>
    <t>Podíl / meziroční změna u ostatních společností</t>
  </si>
  <si>
    <t>Celkový počet zákazníků v plynárenské soustavě ČR</t>
  </si>
  <si>
    <t>Bilanční rozdíl 
v PS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</si>
  <si>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plynárenských společností 
    na celkové spotřebě v ČR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</si>
  <si>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dlouhodobý teplotní normál</t>
    </r>
  </si>
  <si>
    <r>
      <rPr>
        <vertAlign val="superscript"/>
        <sz val="8"/>
        <rFont val="Arial"/>
        <family val="2"/>
        <charset val="238"/>
      </rPr>
      <t xml:space="preserve">3) </t>
    </r>
    <r>
      <rPr>
        <sz val="8"/>
        <rFont val="Arial"/>
        <family val="2"/>
        <charset val="238"/>
      </rPr>
      <t>odchylka od dlouhodobého teplotního normálu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</si>
  <si>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spotřeby kraje na celkové spotřebě 
   zákazníků v ČR</t>
    </r>
  </si>
  <si>
    <t>OBSAH</t>
  </si>
  <si>
    <t>ÚVOD</t>
  </si>
  <si>
    <t>Výroba plynu
v ČR
(včetně VS)</t>
  </si>
  <si>
    <r>
      <t>Tok plynu do/z plynárenské soustavy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</si>
  <si>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Tok plynu ze/do ZP, které náleží do PLS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</si>
  <si>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Spotřeba plynu v ČR 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</si>
  <si>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Plynárenská soustava</t>
    </r>
    <r>
      <rPr>
        <sz val="11"/>
        <color rgb="FF233060"/>
        <rFont val="Arial"/>
        <family val="2"/>
        <charset val="238"/>
      </rPr>
      <t xml:space="preserve"> (kapitola 3)</t>
    </r>
  </si>
  <si>
    <r>
      <t xml:space="preserve">Spotřeba zemního plynu </t>
    </r>
    <r>
      <rPr>
        <sz val="11"/>
        <color rgb="FF233060"/>
        <rFont val="Arial"/>
        <family val="2"/>
        <charset val="238"/>
      </rPr>
      <t>(kapitola 4)</t>
    </r>
  </si>
  <si>
    <r>
      <t>Spotřeba zemního plynu podle distribučních soustav</t>
    </r>
    <r>
      <rPr>
        <sz val="11"/>
        <color rgb="FF233060"/>
        <rFont val="Arial"/>
        <family val="2"/>
        <charset val="238"/>
      </rPr>
      <t xml:space="preserve"> (kapitola 5)</t>
    </r>
  </si>
  <si>
    <r>
      <t>Spotřeba plynu po kategoriích 
(mil.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</si>
  <si>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Spotřeba plynu celkem 
(GWh)</t>
  </si>
  <si>
    <t>Pražská plynárenská 
Distribuce, a.s.</t>
  </si>
  <si>
    <t>Spotřeba plynu podle krajů (MWh)</t>
  </si>
  <si>
    <r>
      <t>mil. m</t>
    </r>
    <r>
      <rPr>
        <vertAlign val="superscript"/>
        <sz val="11"/>
        <rFont val="Arial"/>
        <family val="2"/>
        <charset val="238"/>
      </rPr>
      <t>3</t>
    </r>
  </si>
  <si>
    <t xml:space="preserve"> </t>
  </si>
  <si>
    <r>
      <t>mil. m</t>
    </r>
    <r>
      <rPr>
        <b/>
        <vertAlign val="superscript"/>
        <sz val="8"/>
        <rFont val="Arial"/>
        <family val="2"/>
        <charset val="238"/>
      </rPr>
      <t>3</t>
    </r>
  </si>
  <si>
    <r>
      <t>tis. m</t>
    </r>
    <r>
      <rPr>
        <b/>
        <vertAlign val="superscript"/>
        <sz val="8"/>
        <rFont val="Arial"/>
        <family val="2"/>
        <charset val="238"/>
      </rPr>
      <t>3</t>
    </r>
  </si>
  <si>
    <t>MWh</t>
  </si>
  <si>
    <t>Teplota ovzduší v ČR</t>
  </si>
  <si>
    <t xml:space="preserve"> změna</t>
  </si>
  <si>
    <t>změna</t>
  </si>
  <si>
    <t>OP
VS
PKS</t>
  </si>
  <si>
    <t>Max</t>
  </si>
  <si>
    <t>Min</t>
  </si>
  <si>
    <r>
      <t>(tis. m</t>
    </r>
    <r>
      <rPr>
        <b/>
        <vertAlign val="superscript"/>
        <sz val="8"/>
        <color rgb="FF233060"/>
        <rFont val="Arial"/>
        <family val="2"/>
        <charset val="238"/>
      </rPr>
      <t>3</t>
    </r>
    <r>
      <rPr>
        <b/>
        <sz val="8"/>
        <color rgb="FF233060"/>
        <rFont val="Arial"/>
        <family val="2"/>
        <charset val="238"/>
      </rPr>
      <t>)</t>
    </r>
  </si>
  <si>
    <t>Změna spotřeby</t>
  </si>
  <si>
    <r>
      <t>Spotřeba plynu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</si>
  <si>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Podíl jednotlivých měsíců na spotřebě plynu</t>
  </si>
  <si>
    <r>
      <t>Spotřeba plynu podle plynárenských společností 
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</si>
  <si>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t>Průměrná teplota ovzduší podle plynárenských společností (°C)</t>
  </si>
  <si>
    <t>Podíl spotřeby plynu 
podle plynárenských společností</t>
  </si>
  <si>
    <r>
      <t>Spotřeba plynu (tis. m</t>
    </r>
    <r>
      <rPr>
        <b/>
        <vertAlign val="superscript"/>
        <sz val="8"/>
        <rFont val="Arial"/>
        <family val="2"/>
        <charset val="238"/>
      </rPr>
      <t>3</t>
    </r>
    <r>
      <rPr>
        <b/>
        <sz val="8"/>
        <rFont val="Arial"/>
        <family val="2"/>
        <charset val="238"/>
      </rPr>
      <t>)</t>
    </r>
  </si>
  <si>
    <t>Spotřeba plynu (MWh)</t>
  </si>
  <si>
    <r>
      <t>Spotřeba zemního plynu podle plynárenských soustav v ČR po jednotlivých čtvrtletích (tis. m</t>
    </r>
    <r>
      <rPr>
        <b/>
        <vertAlign val="superscript"/>
        <sz val="10"/>
        <color rgb="FF233060"/>
        <rFont val="Arial"/>
        <family val="2"/>
        <charset val="238"/>
      </rPr>
      <t>3</t>
    </r>
    <r>
      <rPr>
        <b/>
        <sz val="10"/>
        <color rgb="FF233060"/>
        <rFont val="Arial"/>
        <family val="2"/>
        <charset val="238"/>
      </rPr>
      <t>)</t>
    </r>
  </si>
  <si>
    <r>
      <t>Podíl</t>
    </r>
    <r>
      <rPr>
        <b/>
        <vertAlign val="superscript"/>
        <sz val="8"/>
        <rFont val="Arial"/>
        <family val="2"/>
        <charset val="238"/>
      </rPr>
      <t>1)</t>
    </r>
  </si>
  <si>
    <r>
      <t>Normál</t>
    </r>
    <r>
      <rPr>
        <b/>
        <vertAlign val="superscript"/>
        <sz val="8"/>
        <color theme="1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</si>
  <si>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color theme="1"/>
        <rFont val="Arial"/>
        <family val="2"/>
        <charset val="238"/>
      </rPr>
      <t>3)</t>
    </r>
  </si>
  <si>
    <t>Změna</t>
  </si>
  <si>
    <t>Plynárenské 
společnosti</t>
  </si>
  <si>
    <r>
      <t>Normál</t>
    </r>
    <r>
      <rPr>
        <b/>
        <vertAlign val="superscript"/>
        <sz val="8"/>
        <rFont val="Arial"/>
        <family val="2"/>
        <charset val="238"/>
      </rPr>
      <t>2)</t>
    </r>
  </si>
  <si>
    <r>
      <t>Odchylka</t>
    </r>
    <r>
      <rPr>
        <b/>
        <vertAlign val="superscript"/>
        <sz val="8"/>
        <rFont val="Arial"/>
        <family val="2"/>
        <charset val="238"/>
      </rPr>
      <t>3)</t>
    </r>
  </si>
  <si>
    <t>1 ZKRATKY A POJMY</t>
  </si>
  <si>
    <t>3 PLYNÁRENSKÁ SOUSTAVA</t>
  </si>
  <si>
    <t>4 SPOTŘEBA ZEMNÍHO PLYNU</t>
  </si>
  <si>
    <t>5 SPOTŘEBA ZEMNÍHO PLYNU PODLE DISTRIBUČNÍCH SOUSTAV</t>
  </si>
  <si>
    <t>6 SPOTŘEBA ZEMNÍHO PLYNU PODLE KRAJŮ</t>
  </si>
  <si>
    <t>7 MAPA PLYNÁRENSKÉ SOUSTAVY ČR</t>
  </si>
  <si>
    <t>3.1 Čtvrtletní bilance plynárenské soustavy ČR</t>
  </si>
  <si>
    <t>3.2 Bilance plynárenské soustavy ČR v průběhu roku</t>
  </si>
  <si>
    <t>4.1 Spotřeba zemního plynu v ČR v průběhu roku</t>
  </si>
  <si>
    <t>4.2 Spotřeba zemního plynu v ČR podle kategorií zákazníků v průběhu roku</t>
  </si>
  <si>
    <t>4.3 Denní průběh spotřeb zemního plynu v ČR</t>
  </si>
  <si>
    <t>5.1 Spotřeba zemního plynu podle kategorií zákazníků v ČR</t>
  </si>
  <si>
    <t>5.3 Spotřeba zemního plynu u společnosti GasNet</t>
  </si>
  <si>
    <t>5.5 Spotřeba zemního plynu u ostatních společností</t>
  </si>
  <si>
    <t>5.10 Spotřeba zemního plynu podle plynárenských soustav v průběhu roku</t>
  </si>
  <si>
    <t>6.1 Spotřeba zemního plynu: Jihočeský a Jihomoravský kraj</t>
  </si>
  <si>
    <t>6.2 Spotřeba zemního plynu: Karlovarský a Královéhradecký kraj</t>
  </si>
  <si>
    <t>6.3 Spotřeba zemního plynu: Liberecký a Moravskoslezský kraj</t>
  </si>
  <si>
    <t>6.4 Spotřeba zemního plynu: Olomoucký a Pardubický kraj</t>
  </si>
  <si>
    <t>6.5 Spotřeba zemního plynu: Plzeňský kraj a Hlavní město Praha</t>
  </si>
  <si>
    <t>6.6 Spotřeba zemního plynu: Středočeský a Ústecký kraj</t>
  </si>
  <si>
    <t>6.7 Spotřeba zemního plynu: Kraj Vysočina a Zlínský kraj</t>
  </si>
  <si>
    <t>6.12 Spotřeba zemního plynu podle krajů v ČR v průběhu roku</t>
  </si>
  <si>
    <t>Podíl jednotlivých kategorií 
na celkovém počtu zákazníků</t>
  </si>
  <si>
    <t>spotřeba 
v LDS, která není 
v RDS</t>
  </si>
  <si>
    <t>Denní fyzické množství plynu pro pohon kompresních stanic a ostatní plyn,
který představuje neměřené hodnoty rozdílového množství celkové bilance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</si>
  <si>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</si>
  <si>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GS CZ</t>
  </si>
  <si>
    <t>MND GS</t>
  </si>
  <si>
    <t>Společnost MND Gas Storage a.s. (provozovatel zásobníku plynu)</t>
  </si>
  <si>
    <t>Společnost Gas Storage CZ, a.s. (provozovatel zásobníků plynu)</t>
  </si>
  <si>
    <t>PPD</t>
  </si>
  <si>
    <t>Podíl / meziroční změna u společnosti PPD</t>
  </si>
  <si>
    <t>Společnost Pražská plynárenská Distribuce, a.s. (provozovatel regionální distribuční soustavy)</t>
  </si>
  <si>
    <t>5.2 Spotřeba zemního plynu u společnosti PPD</t>
  </si>
  <si>
    <t>Společnost Gas Distribution s.r.o. (provozovatel regionální distribuční soustavy)</t>
  </si>
  <si>
    <t>Gas Distribution s.r.o.</t>
  </si>
  <si>
    <t>GasD</t>
  </si>
  <si>
    <t>5.4 Spotřeba zemního plynu u společnosti GasD</t>
  </si>
  <si>
    <t xml:space="preserve"> GasD</t>
  </si>
  <si>
    <t>Podíl / meziroční změna u společnosti GasD</t>
  </si>
  <si>
    <t>SPP S</t>
  </si>
  <si>
    <t>Společnost SPP Storage, s.r.o. (provozovatel zásobníku plynu)</t>
  </si>
  <si>
    <t xml:space="preserve"> Průměr</t>
  </si>
  <si>
    <t xml:space="preserve"> Max.</t>
  </si>
  <si>
    <t xml:space="preserve"> Min.</t>
  </si>
  <si>
    <t xml:space="preserve"> Normál</t>
  </si>
  <si>
    <t xml:space="preserve"> Odchylka</t>
  </si>
  <si>
    <t>* Prognóza spotřeby plynu do konce roku 2026 byla zpracována v prosinci 2025.</t>
  </si>
  <si>
    <t>I. čtvrtletí 2026</t>
  </si>
  <si>
    <t>Energetický regulační úřad		
Masarykovo náměstí 91/5, 586 01 Jihlava		
IČ: 70894451, T: +420 564 578 666, ID DS: eeuaau7                                                                                                  eru.gov.cz</t>
  </si>
  <si>
    <t>Čtvrtletní zpráva o provozu plynárenské soustavy České republiky</t>
  </si>
  <si>
    <t xml:space="preserve">Energetický regulační úřad (ERÚ) zveřejňuje čtvrtletní zprávu o provozu plynárenské soustavy ČR za dané čtvrtletí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 rámci ČR nebo Evropské unie a odbornou veřejnost.
ERÚ v této zprávě uvádí všechna dostupná provozně technická data, která představují fyzické toky plynu. Údaje pro čtvrtletní zprávu ERÚ získává na základě vyhlášky č. 404/2016 Sb., o náležitostech a členění výkazů nezbytných pro zpracování zpráv o provozu soustav v energetických odvětvích, včetně termínů, rozsahu a pravidel pro sestavování výkazů (statistická vyhláška), ve znění pozdějších předpisů, která nabyla účinnost dnem 1. ledna 2017. V rámci svých kompetencí, určených § 20a odst. 4 písm. e) energetického zákona, zpracovává operátor trhu své měsíční a roční statistiky o trhu s elektřinou a o trhu s plynem, které doplňují statistiky Energetického regulačního úřadu o obchodní údaje.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2026, kterou ERÚ předpokládá zveřejnit do konce května roku 2027.
Případné dotazy či připomínky zasílejte Oddělení statistiky a sledování kvality na e-mailovou adresu plyn.statistika@eru.gov.cz.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</si>
</sst>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\ _C_Z_K_-;\-* #,##0\ _C_Z_K_-;_-* &quot;-&quot;\ _C_Z_K_-;_-@_-"/>
    <numFmt numFmtId="175" formatCode="\$#,##0.00\ ;\(\$#,##0.00\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#,##0\ &quot;Kc&quot;;\-#,##0\ &quot;Kc&quot;"/>
    <numFmt numFmtId="181" formatCode="0.00_);[Red]\-0.00"/>
    <numFmt numFmtId="183" formatCode="#,##0.000000"/>
  </numFmts>
  <fonts count="141">
    <font>
      <sz val="10"/>
      <name val="Arial"/>
      <charset val="238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  <scheme val="minor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sz val="8"/>
      <name val="Arial"/>
      <family val="2"/>
      <charset val="238"/>
    </font>
    <font>
      <b/>
      <sz val="16"/>
      <color rgb="FF233060"/>
      <name val="Arial"/>
      <family val="2"/>
      <charset val="238"/>
    </font>
    <font>
      <b/>
      <sz val="10"/>
      <color rgb="FF233060"/>
      <name val="Arial"/>
      <family val="2"/>
      <charset val="238"/>
    </font>
    <font>
      <sz val="10"/>
      <color rgb="FF233060"/>
      <name val="Arial"/>
      <family val="2"/>
      <charset val="238"/>
    </font>
    <font>
      <b/>
      <sz val="11"/>
      <color rgb="FF233060"/>
      <name val="Arial"/>
      <family val="2"/>
      <charset val="238"/>
    </font>
    <font>
      <sz val="11"/>
      <color rgb="FF233060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00B0F0"/>
      <name val="Arial"/>
      <family val="2"/>
      <charset val="238"/>
    </font>
    <font>
      <b/>
      <sz val="8"/>
      <color theme="9" tint="-0.249977111117893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8" tint="-0.249977111117893"/>
      <name val="Arial"/>
      <family val="2"/>
      <charset val="238"/>
    </font>
    <font>
      <sz val="14"/>
      <color rgb="FF233060"/>
      <name val="Arial"/>
      <family val="2"/>
      <charset val="238"/>
    </font>
    <font>
      <sz val="26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8"/>
      <color rgb="FF000099"/>
      <name val="Arial"/>
      <family val="2"/>
      <charset val="238"/>
    </font>
    <font>
      <sz val="8"/>
      <color rgb="FF233060"/>
      <name val="Arial"/>
      <family val="2"/>
      <charset val="238"/>
    </font>
    <font>
      <b/>
      <sz val="8"/>
      <color rgb="FF233060"/>
      <name val="Arial"/>
      <family val="2"/>
      <charset val="238"/>
    </font>
    <font>
      <b/>
      <vertAlign val="superscript"/>
      <sz val="10"/>
      <color rgb="FF233060"/>
      <name val="Arial"/>
      <family val="2"/>
      <charset val="238"/>
    </font>
    <font>
      <b/>
      <sz val="10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vertAlign val="superscript"/>
      <sz val="8"/>
      <name val="Arial"/>
      <family val="2"/>
      <charset val="238"/>
    </font>
    <font>
      <u/>
      <sz val="8"/>
      <name val="Arial"/>
      <family val="2"/>
      <charset val="238"/>
    </font>
    <font>
      <b/>
      <vertAlign val="superscript"/>
      <sz val="8"/>
      <color rgb="FF233060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14"/>
      <color rgb="FF233060"/>
      <name val="Arial"/>
      <family val="2"/>
      <charset val="238"/>
    </font>
    <font>
      <sz val="8"/>
      <name val="Arial"/>
      <family val="2"/>
      <charset val="238"/>
    </font>
    <font>
      <b/>
      <sz val="20"/>
      <color rgb="FF545860"/>
      <name val="Arial"/>
      <family val="2"/>
      <charset val="238"/>
      <scheme val="minor"/>
    </font>
    <font>
      <b/>
      <sz val="14"/>
      <color rgb="FF545860"/>
      <name val="Arial"/>
      <family val="2"/>
      <charset val="238"/>
      <scheme val="minor"/>
    </font>
    <font>
      <sz val="8"/>
      <color rgb="FF888B95"/>
      <name val="Arial"/>
      <family val="2"/>
      <charset val="238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1">
    <xf numFmtId="0" fontId="0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8" fillId="0" borderId="0"/>
    <xf numFmtId="9" fontId="9" fillId="0" borderId="0" applyFont="0" applyFill="0" applyBorder="0" applyAlignment="0" applyProtection="0"/>
    <xf numFmtId="4" fontId="12" fillId="3" borderId="3" applyNumberFormat="0" applyProtection="0">
      <alignment vertical="center"/>
    </xf>
    <xf numFmtId="4" fontId="12" fillId="4" borderId="3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3" fillId="6" borderId="3" applyNumberFormat="0" applyProtection="0">
      <alignment horizontal="right" vertical="center"/>
    </xf>
    <xf numFmtId="4" fontId="13" fillId="7" borderId="3" applyNumberFormat="0" applyProtection="0">
      <alignment horizontal="left" vertical="center" indent="1"/>
    </xf>
    <xf numFmtId="2" fontId="9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4" fontId="14" fillId="4" borderId="3" applyNumberFormat="0" applyProtection="0">
      <alignment vertical="center"/>
    </xf>
    <xf numFmtId="0" fontId="12" fillId="4" borderId="3" applyNumberFormat="0" applyProtection="0">
      <alignment horizontal="left" vertical="top" indent="1"/>
    </xf>
    <xf numFmtId="4" fontId="13" fillId="8" borderId="3" applyNumberFormat="0" applyProtection="0">
      <alignment horizontal="right" vertical="center"/>
    </xf>
    <xf numFmtId="4" fontId="13" fillId="9" borderId="3" applyNumberFormat="0" applyProtection="0">
      <alignment horizontal="right" vertical="center"/>
    </xf>
    <xf numFmtId="4" fontId="13" fillId="10" borderId="3" applyNumberFormat="0" applyProtection="0">
      <alignment horizontal="right" vertical="center"/>
    </xf>
    <xf numFmtId="4" fontId="13" fillId="11" borderId="3" applyNumberFormat="0" applyProtection="0">
      <alignment horizontal="right" vertical="center"/>
    </xf>
    <xf numFmtId="4" fontId="13" fillId="12" borderId="3" applyNumberFormat="0" applyProtection="0">
      <alignment horizontal="right" vertical="center"/>
    </xf>
    <xf numFmtId="4" fontId="13" fillId="13" borderId="3" applyNumberFormat="0" applyProtection="0">
      <alignment horizontal="right" vertical="center"/>
    </xf>
    <xf numFmtId="4" fontId="13" fillId="14" borderId="3" applyNumberFormat="0" applyProtection="0">
      <alignment horizontal="right" vertical="center"/>
    </xf>
    <xf numFmtId="4" fontId="13" fillId="15" borderId="3" applyNumberFormat="0" applyProtection="0">
      <alignment horizontal="right" vertical="center"/>
    </xf>
    <xf numFmtId="4" fontId="13" fillId="16" borderId="3" applyNumberFormat="0" applyProtection="0">
      <alignment horizontal="right" vertical="center"/>
    </xf>
    <xf numFmtId="4" fontId="12" fillId="0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4" fontId="15" fillId="17" borderId="0" applyNumberFormat="0" applyProtection="0">
      <alignment horizontal="left" vertical="center" indent="1"/>
    </xf>
    <xf numFmtId="4" fontId="13" fillId="7" borderId="3" applyNumberFormat="0" applyProtection="0">
      <alignment horizontal="right" vertical="center"/>
    </xf>
    <xf numFmtId="4" fontId="16" fillId="6" borderId="0" applyNumberFormat="0" applyProtection="0">
      <alignment horizontal="left" vertical="center" indent="1"/>
    </xf>
    <xf numFmtId="4" fontId="16" fillId="5" borderId="0" applyNumberFormat="0" applyProtection="0">
      <alignment horizontal="left" vertical="center" indent="1"/>
    </xf>
    <xf numFmtId="0" fontId="9" fillId="17" borderId="3" applyNumberFormat="0" applyProtection="0">
      <alignment horizontal="left" vertical="center" indent="1"/>
    </xf>
    <xf numFmtId="0" fontId="9" fillId="17" borderId="3" applyNumberFormat="0" applyProtection="0">
      <alignment horizontal="left" vertical="top" indent="1"/>
    </xf>
    <xf numFmtId="0" fontId="9" fillId="5" borderId="3" applyNumberFormat="0" applyProtection="0">
      <alignment horizontal="left" vertical="center" indent="1"/>
    </xf>
    <xf numFmtId="0" fontId="9" fillId="5" borderId="3" applyNumberFormat="0" applyProtection="0">
      <alignment horizontal="left" vertical="top" indent="1"/>
    </xf>
    <xf numFmtId="0" fontId="9" fillId="18" borderId="3" applyNumberFormat="0" applyProtection="0">
      <alignment horizontal="left" vertical="center" indent="1"/>
    </xf>
    <xf numFmtId="0" fontId="9" fillId="18" borderId="3" applyNumberFormat="0" applyProtection="0">
      <alignment horizontal="left" vertical="top" indent="1"/>
    </xf>
    <xf numFmtId="0" fontId="9" fillId="19" borderId="3" applyNumberFormat="0" applyProtection="0">
      <alignment horizontal="left" vertical="center" indent="1"/>
    </xf>
    <xf numFmtId="0" fontId="9" fillId="19" borderId="3" applyNumberFormat="0" applyProtection="0">
      <alignment horizontal="left" vertical="top" indent="1"/>
    </xf>
    <xf numFmtId="4" fontId="13" fillId="20" borderId="3" applyNumberFormat="0" applyProtection="0">
      <alignment vertical="center"/>
    </xf>
    <xf numFmtId="4" fontId="17" fillId="20" borderId="3" applyNumberFormat="0" applyProtection="0">
      <alignment vertical="center"/>
    </xf>
    <xf numFmtId="4" fontId="13" fillId="20" borderId="3" applyNumberFormat="0" applyProtection="0">
      <alignment horizontal="left" vertical="center" indent="1"/>
    </xf>
    <xf numFmtId="0" fontId="13" fillId="20" borderId="3" applyNumberFormat="0" applyProtection="0">
      <alignment horizontal="left" vertical="top" indent="1"/>
    </xf>
    <xf numFmtId="4" fontId="17" fillId="6" borderId="3" applyNumberFormat="0" applyProtection="0">
      <alignment horizontal="right" vertical="center"/>
    </xf>
    <xf numFmtId="0" fontId="13" fillId="5" borderId="3" applyNumberFormat="0" applyProtection="0">
      <alignment horizontal="left" vertical="top" indent="1"/>
    </xf>
    <xf numFmtId="4" fontId="18" fillId="0" borderId="0" applyNumberFormat="0" applyProtection="0">
      <alignment horizontal="left" vertical="center" indent="1"/>
    </xf>
    <xf numFmtId="4" fontId="19" fillId="6" borderId="3" applyNumberFormat="0" applyProtection="0">
      <alignment horizontal="right" vertical="center"/>
    </xf>
    <xf numFmtId="0" fontId="9" fillId="0" borderId="0"/>
    <xf numFmtId="0" fontId="20" fillId="21" borderId="4" applyNumberFormat="0" applyFont="0" applyFill="0" applyAlignment="0" applyProtection="0"/>
    <xf numFmtId="0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3" fontId="20" fillId="21" borderId="0" applyFont="0" applyFill="0" applyBorder="0" applyAlignment="0" applyProtection="0"/>
    <xf numFmtId="0" fontId="21" fillId="21" borderId="0" applyNumberFormat="0" applyFont="0" applyFill="0" applyBorder="0" applyAlignment="0" applyProtection="0"/>
    <xf numFmtId="0" fontId="21" fillId="21" borderId="0" applyNumberFormat="0" applyFont="0" applyFill="0" applyBorder="0" applyAlignment="0" applyProtection="0"/>
    <xf numFmtId="168" fontId="20" fillId="21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2" fontId="20" fillId="21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2" fillId="21" borderId="0" applyNumberFormat="0" applyFill="0" applyBorder="0" applyAlignment="0" applyProtection="0"/>
    <xf numFmtId="0" fontId="23" fillId="21" borderId="0" applyNumberFormat="0" applyFill="0" applyBorder="0" applyAlignment="0" applyProtection="0"/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69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0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71" fontId="34" fillId="0" borderId="5">
      <alignment horizontal="right"/>
      <protection hidden="1"/>
    </xf>
    <xf numFmtId="1" fontId="34" fillId="0" borderId="0">
      <alignment horizontal="lef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0"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69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71" fontId="35" fillId="0" borderId="5">
      <alignment horizontal="righ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" fontId="35" fillId="0" borderId="6">
      <alignment horizontal="left"/>
      <protection hidden="1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69" fontId="34" fillId="24" borderId="5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171" fontId="34" fillId="25" borderId="5" applyBorder="0">
      <alignment horizontal="right"/>
      <protection locked="0"/>
    </xf>
    <xf numFmtId="0" fontId="36" fillId="0" borderId="0"/>
    <xf numFmtId="0" fontId="37" fillId="0" borderId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8" fillId="0" borderId="0"/>
    <xf numFmtId="0" fontId="38" fillId="0" borderId="0"/>
    <xf numFmtId="0" fontId="39" fillId="26" borderId="0" applyNumberFormat="0" applyBorder="0" applyAlignment="0" applyProtection="0"/>
    <xf numFmtId="0" fontId="39" fillId="9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39" fillId="29" borderId="0" applyNumberFormat="0" applyBorder="0" applyAlignment="0" applyProtection="0"/>
    <xf numFmtId="0" fontId="39" fillId="9" borderId="0" applyNumberFormat="0" applyBorder="0" applyAlignment="0" applyProtection="0"/>
    <xf numFmtId="0" fontId="39" fillId="3" borderId="0" applyNumberFormat="0" applyBorder="0" applyAlignment="0" applyProtection="0"/>
    <xf numFmtId="0" fontId="39" fillId="8" borderId="0" applyNumberFormat="0" applyBorder="0" applyAlignment="0" applyProtection="0"/>
    <xf numFmtId="0" fontId="39" fillId="29" borderId="0" applyNumberFormat="0" applyBorder="0" applyAlignment="0" applyProtection="0"/>
    <xf numFmtId="0" fontId="39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29" borderId="0" applyNumberFormat="0" applyBorder="0" applyAlignment="0" applyProtection="0"/>
    <xf numFmtId="0" fontId="40" fillId="9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2" fillId="38" borderId="0" applyNumberFormat="0" applyBorder="0" applyAlignment="0" applyProtection="0"/>
    <xf numFmtId="0" fontId="41" fillId="33" borderId="0" applyNumberFormat="0" applyBorder="0" applyAlignment="0" applyProtection="0"/>
    <xf numFmtId="0" fontId="41" fillId="39" borderId="0" applyNumberFormat="0" applyBorder="0" applyAlignment="0" applyProtection="0"/>
    <xf numFmtId="0" fontId="42" fillId="34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2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3" fillId="19" borderId="7" applyNumberFormat="0" applyFont="0" applyFill="0" applyBorder="0" applyAlignment="0">
      <alignment vertical="center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0" fontId="44" fillId="0" borderId="0">
      <alignment horizontal="center" wrapText="1"/>
      <protection locked="0"/>
    </xf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72" fontId="9" fillId="0" borderId="0" applyFill="0" applyBorder="0" applyAlignment="0"/>
    <xf numFmtId="1" fontId="45" fillId="0" borderId="8" applyAlignment="0">
      <alignment horizontal="left" vertical="center"/>
    </xf>
    <xf numFmtId="173" fontId="46" fillId="4" borderId="9" applyNumberFormat="0" applyFont="0" applyFill="0" applyBorder="0" applyAlignment="0">
      <alignment horizontal="center"/>
    </xf>
    <xf numFmtId="173" fontId="46" fillId="4" borderId="9" applyNumberFormat="0" applyFont="0" applyFill="0" applyBorder="0" applyAlignment="0">
      <alignment horizontal="center"/>
    </xf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7" fillId="0" borderId="10" applyNumberFormat="0" applyFill="0" applyAlignment="0" applyProtection="0"/>
    <xf numFmtId="0" fontId="48" fillId="0" borderId="11" applyNumberFormat="0" applyFill="0" applyAlignment="0" applyProtection="0"/>
    <xf numFmtId="0" fontId="49" fillId="0" borderId="0" applyNumberForma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2" fillId="0" borderId="0" applyNumberFormat="0" applyAlignment="0"/>
    <xf numFmtId="0" fontId="53" fillId="0" borderId="0" applyNumberFormat="0" applyAlignment="0"/>
    <xf numFmtId="0" fontId="52" fillId="0" borderId="0" applyNumberFormat="0" applyAlignment="0"/>
    <xf numFmtId="0" fontId="53" fillId="0" borderId="0" applyNumberFormat="0" applyAlignment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4" fontId="48" fillId="0" borderId="0" applyFill="0" applyBorder="0" applyAlignment="0" applyProtection="0"/>
    <xf numFmtId="0" fontId="54" fillId="0" borderId="0">
      <alignment horizontal="center" vertical="center"/>
    </xf>
    <xf numFmtId="0" fontId="54" fillId="44" borderId="0">
      <alignment horizontal="center" vertical="center"/>
    </xf>
    <xf numFmtId="0" fontId="54" fillId="45" borderId="0">
      <alignment horizontal="center" vertical="center"/>
    </xf>
    <xf numFmtId="0" fontId="54" fillId="46" borderId="0">
      <alignment horizontal="center" vertical="center"/>
    </xf>
    <xf numFmtId="15" fontId="38" fillId="0" borderId="0"/>
    <xf numFmtId="15" fontId="38" fillId="0" borderId="0"/>
    <xf numFmtId="15" fontId="38" fillId="0" borderId="0"/>
    <xf numFmtId="15" fontId="38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5" fillId="47" borderId="0" applyNumberFormat="0" applyBorder="0" applyAlignment="0" applyProtection="0"/>
    <xf numFmtId="0" fontId="55" fillId="48" borderId="0" applyNumberFormat="0" applyBorder="0" applyAlignment="0" applyProtection="0"/>
    <xf numFmtId="0" fontId="55" fillId="49" borderId="0" applyNumberFormat="0" applyBorder="0" applyAlignment="0" applyProtection="0"/>
    <xf numFmtId="0" fontId="56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6" fillId="0" borderId="0" applyNumberFormat="0" applyAlignment="0">
      <alignment horizontal="left"/>
    </xf>
    <xf numFmtId="0" fontId="56" fillId="0" borderId="0" applyNumberFormat="0" applyAlignment="0">
      <alignment horizontal="left"/>
    </xf>
    <xf numFmtId="38" fontId="58" fillId="50" borderId="0" applyNumberFormat="0" applyBorder="0" applyAlignment="0" applyProtection="0"/>
    <xf numFmtId="0" fontId="59" fillId="0" borderId="12" applyNumberFormat="0" applyAlignment="0" applyProtection="0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59" fillId="0" borderId="2">
      <alignment horizontal="left" vertical="center"/>
    </xf>
    <xf numFmtId="0" fontId="60" fillId="51" borderId="0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0" fontId="58" fillId="20" borderId="1" applyNumberFormat="0" applyBorder="0" applyAlignment="0" applyProtection="0"/>
    <xf numFmtId="174" fontId="9" fillId="52" borderId="0"/>
    <xf numFmtId="174" fontId="9" fillId="52" borderId="0"/>
    <xf numFmtId="174" fontId="9" fillId="52" borderId="0"/>
    <xf numFmtId="174" fontId="9" fillId="52" borderId="0"/>
    <xf numFmtId="0" fontId="61" fillId="53" borderId="13" applyNumberFormat="0" applyAlignment="0" applyProtection="0"/>
    <xf numFmtId="174" fontId="9" fillId="54" borderId="0"/>
    <xf numFmtId="174" fontId="9" fillId="54" borderId="0"/>
    <xf numFmtId="174" fontId="9" fillId="54" borderId="0"/>
    <xf numFmtId="174" fontId="9" fillId="54" borderId="0"/>
    <xf numFmtId="175" fontId="48" fillId="0" borderId="0" applyFill="0" applyBorder="0" applyAlignment="0" applyProtection="0"/>
    <xf numFmtId="175" fontId="48" fillId="0" borderId="0" applyFill="0" applyBorder="0" applyAlignment="0" applyProtection="0"/>
    <xf numFmtId="175" fontId="48" fillId="0" borderId="0" applyFill="0" applyBorder="0" applyAlignment="0" applyProtection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62" fillId="0" borderId="14" applyNumberFormat="0" applyFill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" borderId="0" applyNumberFormat="0" applyBorder="0" applyAlignment="0" applyProtection="0"/>
    <xf numFmtId="0" fontId="26" fillId="23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180" fontId="9" fillId="0" borderId="0"/>
    <xf numFmtId="180" fontId="9" fillId="0" borderId="0"/>
    <xf numFmtId="180" fontId="9" fillId="0" borderId="0"/>
    <xf numFmtId="180" fontId="9" fillId="0" borderId="0"/>
    <xf numFmtId="0" fontId="9" fillId="0" borderId="0" applyNumberFormat="0" applyFill="0" applyBorder="0" applyAlignment="0" applyProtection="0"/>
    <xf numFmtId="0" fontId="7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71" fillId="0" borderId="0"/>
    <xf numFmtId="0" fontId="71" fillId="0" borderId="0"/>
    <xf numFmtId="0" fontId="72" fillId="0" borderId="0"/>
    <xf numFmtId="0" fontId="36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4" fontId="44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2" fontId="48" fillId="0" borderId="0" applyFill="0" applyBorder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9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27" borderId="17" applyNumberFormat="0" applyFont="0" applyAlignment="0" applyProtection="0"/>
    <xf numFmtId="0" fontId="36" fillId="0" borderId="0"/>
    <xf numFmtId="0" fontId="36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18" applyNumberFormat="0" applyFill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81" fontId="9" fillId="0" borderId="0" applyNumberFormat="0" applyFill="0" applyBorder="0" applyAlignment="0" applyProtection="0">
      <alignment horizontal="left"/>
    </xf>
    <xf numFmtId="181" fontId="9" fillId="0" borderId="0" applyNumberFormat="0" applyFill="0" applyBorder="0" applyAlignment="0" applyProtection="0">
      <alignment horizontal="left"/>
    </xf>
    <xf numFmtId="181" fontId="9" fillId="0" borderId="0" applyNumberFormat="0" applyFill="0" applyBorder="0" applyAlignment="0" applyProtection="0">
      <alignment horizontal="left"/>
    </xf>
    <xf numFmtId="181" fontId="9" fillId="0" borderId="0" applyNumberFormat="0" applyFill="0" applyBorder="0" applyAlignment="0" applyProtection="0">
      <alignment horizontal="left"/>
    </xf>
    <xf numFmtId="0" fontId="49" fillId="0" borderId="0" applyNumberFormat="0" applyFill="0" applyBorder="0" applyAlignment="0" applyProtection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0" fontId="9" fillId="0" borderId="0"/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13" fillId="4" borderId="19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0" fontId="9" fillId="0" borderId="0"/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74" fillId="4" borderId="20" applyNumberFormat="0" applyProtection="0">
      <alignment vertical="center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9" fillId="0" borderId="0"/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4" fontId="13" fillId="4" borderId="19" applyNumberFormat="0" applyProtection="0">
      <alignment horizontal="left" vertical="center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9" fillId="0" borderId="0"/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0" fontId="75" fillId="3" borderId="3" applyNumberFormat="0" applyProtection="0">
      <alignment horizontal="left" vertical="top" indent="1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0" fontId="9" fillId="0" borderId="0"/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8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0" fontId="9" fillId="0" borderId="0"/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54" borderId="20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0" fontId="9" fillId="0" borderId="0"/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0" borderId="21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0" fontId="9" fillId="0" borderId="0"/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1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0" fontId="9" fillId="0" borderId="0"/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2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0" fontId="9" fillId="0" borderId="0"/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3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0" fontId="9" fillId="0" borderId="0"/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4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0" fontId="9" fillId="0" borderId="0"/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5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0" fontId="9" fillId="0" borderId="0"/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16" borderId="20" applyNumberFormat="0" applyProtection="0">
      <alignment horizontal="right" vertical="center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0" fontId="9" fillId="0" borderId="0"/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58" fillId="55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0" fontId="9" fillId="0" borderId="0"/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76" fillId="56" borderId="21" applyNumberFormat="0" applyProtection="0">
      <alignment horizontal="left" vertical="center" indent="1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0" fontId="9" fillId="0" borderId="0"/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7" borderId="20" applyNumberFormat="0" applyProtection="0">
      <alignment horizontal="right" vertical="center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0" fontId="9" fillId="0" borderId="0"/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6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9" fillId="0" borderId="0"/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4" fontId="58" fillId="7" borderId="21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58" borderId="19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9" fillId="0" borderId="0"/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7" borderId="20" applyNumberFormat="0" applyProtection="0">
      <alignment horizontal="left" vertical="center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9" fillId="0" borderId="0"/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6" borderId="3" applyNumberFormat="0" applyProtection="0">
      <alignment horizontal="left" vertical="top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60" borderId="19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9" fillId="0" borderId="0"/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59" borderId="20" applyNumberFormat="0" applyProtection="0">
      <alignment horizontal="left" vertical="center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9" fillId="0" borderId="0"/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7" borderId="3" applyNumberFormat="0" applyProtection="0">
      <alignment horizontal="left" vertical="top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9" fillId="0" borderId="0"/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20" applyNumberFormat="0" applyProtection="0">
      <alignment horizontal="left" vertical="center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9" fillId="0" borderId="0"/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26" borderId="3" applyNumberFormat="0" applyProtection="0">
      <alignment horizontal="left" vertical="top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9" fillId="0" borderId="0"/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20" applyNumberFormat="0" applyProtection="0">
      <alignment horizontal="left" vertical="center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0" borderId="0"/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58" fillId="6" borderId="3" applyNumberFormat="0" applyProtection="0">
      <alignment horizontal="left" vertical="top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58" fillId="62" borderId="22" applyNumberFormat="0">
      <protection locked="0"/>
    </xf>
    <xf numFmtId="0" fontId="9" fillId="0" borderId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0" fontId="77" fillId="56" borderId="23" applyBorder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0" fontId="9" fillId="0" borderId="0"/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8" fillId="27" borderId="3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4" fontId="74" fillId="20" borderId="5" applyNumberFormat="0" applyProtection="0">
      <alignment vertical="center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9" fillId="0" borderId="0"/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4" fontId="78" fillId="57" borderId="3" applyNumberFormat="0" applyProtection="0">
      <alignment horizontal="left" vertical="center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9" fillId="0" borderId="0"/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0" fontId="78" fillId="27" borderId="3" applyNumberFormat="0" applyProtection="0">
      <alignment horizontal="left" vertical="top" indent="1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0" fontId="9" fillId="0" borderId="0"/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58" fillId="0" borderId="20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3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0" borderId="0"/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4" fontId="17" fillId="63" borderId="19" applyNumberFormat="0" applyProtection="0">
      <alignment horizontal="right" vertical="center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45" fillId="0" borderId="0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0" borderId="0"/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9" fillId="61" borderId="19" applyNumberFormat="0" applyProtection="0">
      <alignment horizontal="left" vertical="center" indent="1"/>
    </xf>
    <xf numFmtId="0" fontId="79" fillId="0" borderId="0"/>
    <xf numFmtId="0" fontId="9" fillId="0" borderId="0"/>
    <xf numFmtId="0" fontId="79" fillId="0" borderId="0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0" fontId="58" fillId="64" borderId="1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9" fillId="0" borderId="0"/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4" fontId="80" fillId="62" borderId="20" applyNumberFormat="0" applyProtection="0">
      <alignment horizontal="right" vertical="center"/>
    </xf>
    <xf numFmtId="0" fontId="81" fillId="0" borderId="0" applyNumberFormat="0" applyFill="0" applyBorder="0" applyAlignment="0" applyProtection="0"/>
    <xf numFmtId="0" fontId="82" fillId="29" borderId="0" applyNumberFormat="0" applyBorder="0" applyAlignment="0" applyProtection="0"/>
    <xf numFmtId="0" fontId="25" fillId="22" borderId="0" applyNumberFormat="0" applyBorder="0" applyAlignment="0" applyProtection="0"/>
    <xf numFmtId="0" fontId="83" fillId="0" borderId="0"/>
    <xf numFmtId="40" fontId="84" fillId="0" borderId="0" applyBorder="0">
      <alignment horizontal="right"/>
    </xf>
    <xf numFmtId="0" fontId="73" fillId="0" borderId="0" applyNumberFormat="0" applyFill="0" applyBorder="0" applyAlignment="0" applyProtection="0"/>
    <xf numFmtId="0" fontId="85" fillId="3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5" fillId="28" borderId="24" applyNumberFormat="0" applyAlignment="0" applyProtection="0"/>
    <xf numFmtId="0" fontId="86" fillId="62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7" fillId="57" borderId="24" applyNumberFormat="0" applyAlignment="0" applyProtection="0"/>
    <xf numFmtId="0" fontId="88" fillId="62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8" fillId="57" borderId="19" applyNumberFormat="0" applyAlignment="0" applyProtection="0"/>
    <xf numFmtId="0" fontId="89" fillId="0" borderId="0" applyNumberFormat="0" applyFill="0" applyBorder="0" applyAlignment="0" applyProtection="0"/>
    <xf numFmtId="0" fontId="40" fillId="65" borderId="0" applyNumberFormat="0" applyBorder="0" applyAlignment="0" applyProtection="0"/>
    <xf numFmtId="0" fontId="40" fillId="13" borderId="0" applyNumberFormat="0" applyBorder="0" applyAlignment="0" applyProtection="0"/>
    <xf numFmtId="0" fontId="40" fillId="11" borderId="0" applyNumberFormat="0" applyBorder="0" applyAlignment="0" applyProtection="0"/>
    <xf numFmtId="0" fontId="40" fillId="56" borderId="0" applyNumberFormat="0" applyBorder="0" applyAlignment="0" applyProtection="0"/>
    <xf numFmtId="0" fontId="40" fillId="66" borderId="0" applyNumberFormat="0" applyBorder="0" applyAlignment="0" applyProtection="0"/>
    <xf numFmtId="0" fontId="40" fillId="10" borderId="0" applyNumberFormat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9" fillId="0" borderId="0"/>
    <xf numFmtId="0" fontId="1" fillId="0" borderId="0"/>
  </cellStyleXfs>
  <cellXfs count="518">
    <xf numFmtId="0" fontId="0" fillId="0" borderId="0" xfId="0"/>
    <xf numFmtId="0" fontId="91" fillId="0" borderId="0" xfId="2" applyFont="1" applyAlignment="1">
      <alignment horizontal="left"/>
    </xf>
    <xf numFmtId="0" fontId="93" fillId="0" borderId="0" xfId="2" applyFont="1"/>
    <xf numFmtId="0" fontId="94" fillId="0" borderId="0" xfId="2" applyFont="1"/>
    <xf numFmtId="0" fontId="45" fillId="0" borderId="0" xfId="2" applyFont="1"/>
    <xf numFmtId="0" fontId="95" fillId="0" borderId="0" xfId="2" applyFont="1" applyAlignment="1">
      <alignment horizontal="left"/>
    </xf>
    <xf numFmtId="0" fontId="45" fillId="0" borderId="0" xfId="2" applyFont="1" applyAlignment="1">
      <alignment horizontal="left" vertical="top" wrapText="1"/>
    </xf>
    <xf numFmtId="0" fontId="45" fillId="0" borderId="0" xfId="2" applyFont="1" applyAlignment="1">
      <alignment horizontal="center" vertical="top" wrapText="1"/>
    </xf>
    <xf numFmtId="0" fontId="45" fillId="0" borderId="0" xfId="2" applyFont="1" applyAlignment="1">
      <alignment vertical="top"/>
    </xf>
    <xf numFmtId="0" fontId="11" fillId="0" borderId="0" xfId="2" applyFont="1" applyAlignment="1">
      <alignment vertical="top" wrapText="1"/>
    </xf>
    <xf numFmtId="0" fontId="90" fillId="0" borderId="0" xfId="2" applyFont="1" applyAlignment="1">
      <alignment horizontal="left" vertical="top" wrapText="1"/>
    </xf>
    <xf numFmtId="0" fontId="91" fillId="0" borderId="0" xfId="2" applyFont="1" applyAlignment="1">
      <alignment horizontal="justify" vertical="top" wrapText="1"/>
    </xf>
    <xf numFmtId="0" fontId="90" fillId="0" borderId="0" xfId="2" applyFont="1" applyAlignment="1">
      <alignment horizontal="left" vertical="top"/>
    </xf>
    <xf numFmtId="0" fontId="91" fillId="0" borderId="0" xfId="2" applyFont="1" applyAlignment="1">
      <alignment horizontal="left" vertical="top" wrapText="1"/>
    </xf>
    <xf numFmtId="0" fontId="91" fillId="0" borderId="0" xfId="2" applyFont="1" applyAlignment="1">
      <alignment vertical="top"/>
    </xf>
    <xf numFmtId="0" fontId="91" fillId="0" borderId="0" xfId="527" applyFont="1" applyAlignment="1">
      <alignment horizontal="left" vertical="top" wrapText="1"/>
    </xf>
    <xf numFmtId="0" fontId="91" fillId="0" borderId="0" xfId="2" applyFont="1" applyAlignment="1">
      <alignment vertical="top" wrapText="1"/>
    </xf>
    <xf numFmtId="0" fontId="91" fillId="0" borderId="0" xfId="527" applyFont="1" applyAlignment="1">
      <alignment vertical="top" wrapText="1"/>
    </xf>
    <xf numFmtId="0" fontId="97" fillId="0" borderId="0" xfId="2" applyFont="1" applyAlignment="1">
      <alignment horizontal="right"/>
    </xf>
    <xf numFmtId="0" fontId="91" fillId="0" borderId="0" xfId="2" applyFont="1"/>
    <xf numFmtId="0" fontId="91" fillId="0" borderId="0" xfId="2" applyFont="1" applyAlignment="1">
      <alignment horizontal="left" vertical="top"/>
    </xf>
    <xf numFmtId="0" fontId="97" fillId="0" borderId="0" xfId="2" applyFont="1"/>
    <xf numFmtId="0" fontId="98" fillId="0" borderId="0" xfId="2" applyFont="1"/>
    <xf numFmtId="0" fontId="99" fillId="0" borderId="0" xfId="2" applyFont="1"/>
    <xf numFmtId="0" fontId="100" fillId="0" borderId="0" xfId="2" applyFont="1"/>
    <xf numFmtId="0" fontId="54" fillId="2" borderId="0" xfId="2" applyFont="1" applyFill="1" applyAlignment="1">
      <alignment vertical="top" wrapText="1"/>
    </xf>
    <xf numFmtId="0" fontId="98" fillId="0" borderId="0" xfId="2" applyFont="1" applyAlignment="1">
      <alignment vertical="top" wrapText="1"/>
    </xf>
    <xf numFmtId="3" fontId="91" fillId="0" borderId="0" xfId="2" applyNumberFormat="1" applyFont="1"/>
    <xf numFmtId="0" fontId="54" fillId="2" borderId="0" xfId="2" applyFont="1" applyFill="1" applyAlignment="1">
      <alignment horizontal="right" vertical="top" wrapText="1"/>
    </xf>
    <xf numFmtId="0" fontId="98" fillId="0" borderId="0" xfId="2" applyFont="1" applyAlignment="1">
      <alignment horizontal="right" vertical="top" wrapText="1"/>
    </xf>
    <xf numFmtId="3" fontId="98" fillId="0" borderId="0" xfId="2" applyNumberFormat="1" applyFont="1"/>
    <xf numFmtId="167" fontId="91" fillId="0" borderId="0" xfId="1" applyNumberFormat="1" applyFont="1" applyFill="1"/>
    <xf numFmtId="0" fontId="91" fillId="0" borderId="0" xfId="0" applyFont="1" applyAlignment="1">
      <alignment horizontal="right"/>
    </xf>
    <xf numFmtId="165" fontId="91" fillId="0" borderId="0" xfId="2" applyNumberFormat="1" applyFont="1"/>
    <xf numFmtId="0" fontId="45" fillId="0" borderId="0" xfId="0" applyFont="1"/>
    <xf numFmtId="3" fontId="45" fillId="0" borderId="0" xfId="0" applyNumberFormat="1" applyFont="1"/>
    <xf numFmtId="2" fontId="45" fillId="0" borderId="0" xfId="0" applyNumberFormat="1" applyFont="1"/>
    <xf numFmtId="0" fontId="45" fillId="0" borderId="0" xfId="0" applyFont="1" applyAlignment="1">
      <alignment horizontal="right"/>
    </xf>
    <xf numFmtId="0" fontId="103" fillId="0" borderId="0" xfId="2" applyFont="1"/>
    <xf numFmtId="0" fontId="104" fillId="0" borderId="0" xfId="2" applyFont="1" applyAlignment="1">
      <alignment horizontal="right"/>
    </xf>
    <xf numFmtId="0" fontId="105" fillId="0" borderId="0" xfId="2" applyFont="1"/>
    <xf numFmtId="0" fontId="106" fillId="0" borderId="0" xfId="2" applyFont="1" applyAlignment="1">
      <alignment horizontal="right"/>
    </xf>
    <xf numFmtId="0" fontId="104" fillId="0" borderId="0" xfId="2" applyFont="1" applyAlignment="1">
      <alignment horizontal="left"/>
    </xf>
    <xf numFmtId="0" fontId="105" fillId="0" borderId="0" xfId="2" applyFont="1" applyAlignment="1">
      <alignment horizontal="left"/>
    </xf>
    <xf numFmtId="1" fontId="105" fillId="0" borderId="0" xfId="2" applyNumberFormat="1" applyFont="1" applyAlignment="1">
      <alignment horizontal="left"/>
    </xf>
    <xf numFmtId="0" fontId="105" fillId="0" borderId="0" xfId="2" applyFont="1" applyAlignment="1">
      <alignment horizontal="right"/>
    </xf>
    <xf numFmtId="0" fontId="103" fillId="0" borderId="0" xfId="2" applyFont="1" applyAlignment="1">
      <alignment horizontal="left"/>
    </xf>
    <xf numFmtId="0" fontId="103" fillId="0" borderId="0" xfId="0" applyFont="1"/>
    <xf numFmtId="3" fontId="45" fillId="0" borderId="0" xfId="2" applyNumberFormat="1" applyFont="1" applyAlignment="1">
      <alignment horizontal="right"/>
    </xf>
    <xf numFmtId="3" fontId="45" fillId="0" borderId="0" xfId="2" applyNumberFormat="1" applyFont="1"/>
    <xf numFmtId="165" fontId="45" fillId="0" borderId="0" xfId="2" applyNumberFormat="1" applyFont="1" applyAlignment="1">
      <alignment horizontal="right"/>
    </xf>
    <xf numFmtId="166" fontId="45" fillId="0" borderId="0" xfId="2" applyNumberFormat="1" applyFont="1" applyAlignment="1">
      <alignment horizontal="right"/>
    </xf>
    <xf numFmtId="0" fontId="45" fillId="0" borderId="0" xfId="2" applyFont="1" applyAlignment="1">
      <alignment wrapText="1"/>
    </xf>
    <xf numFmtId="0" fontId="109" fillId="0" borderId="0" xfId="2" applyFont="1"/>
    <xf numFmtId="165" fontId="109" fillId="0" borderId="0" xfId="2" applyNumberFormat="1" applyFont="1"/>
    <xf numFmtId="165" fontId="45" fillId="0" borderId="0" xfId="2" applyNumberFormat="1" applyFont="1"/>
    <xf numFmtId="0" fontId="11" fillId="0" borderId="0" xfId="2" applyFont="1"/>
    <xf numFmtId="4" fontId="45" fillId="0" borderId="0" xfId="2" applyNumberFormat="1" applyFont="1"/>
    <xf numFmtId="3" fontId="115" fillId="0" borderId="0" xfId="2" applyNumberFormat="1" applyFont="1"/>
    <xf numFmtId="0" fontId="117" fillId="0" borderId="0" xfId="2" applyFont="1" applyAlignment="1">
      <alignment wrapText="1"/>
    </xf>
    <xf numFmtId="164" fontId="45" fillId="0" borderId="0" xfId="1" applyNumberFormat="1" applyFont="1" applyFill="1" applyBorder="1"/>
    <xf numFmtId="1" fontId="109" fillId="0" borderId="0" xfId="2" applyNumberFormat="1" applyFont="1" applyAlignment="1">
      <alignment horizontal="right" wrapText="1"/>
    </xf>
    <xf numFmtId="0" fontId="109" fillId="0" borderId="0" xfId="2" applyFont="1" applyAlignment="1">
      <alignment wrapText="1"/>
    </xf>
    <xf numFmtId="0" fontId="109" fillId="0" borderId="0" xfId="2" applyFont="1" applyAlignment="1">
      <alignment horizontal="right"/>
    </xf>
    <xf numFmtId="0" fontId="109" fillId="0" borderId="0" xfId="2" applyFont="1" applyAlignment="1">
      <alignment horizontal="right" wrapText="1"/>
    </xf>
    <xf numFmtId="3" fontId="109" fillId="0" borderId="0" xfId="2" applyNumberFormat="1" applyFont="1" applyAlignment="1">
      <alignment horizontal="right"/>
    </xf>
    <xf numFmtId="165" fontId="109" fillId="0" borderId="0" xfId="2" applyNumberFormat="1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3" fontId="45" fillId="0" borderId="0" xfId="0" applyNumberFormat="1" applyFont="1" applyAlignment="1">
      <alignment vertical="center"/>
    </xf>
    <xf numFmtId="0" fontId="120" fillId="0" borderId="0" xfId="0" applyFont="1"/>
    <xf numFmtId="3" fontId="117" fillId="0" borderId="0" xfId="0" applyNumberFormat="1" applyFont="1" applyAlignment="1">
      <alignment horizontal="right"/>
    </xf>
    <xf numFmtId="3" fontId="117" fillId="0" borderId="0" xfId="0" applyNumberFormat="1" applyFont="1"/>
    <xf numFmtId="0" fontId="117" fillId="0" borderId="0" xfId="0" applyFont="1" applyAlignment="1">
      <alignment horizontal="right"/>
    </xf>
    <xf numFmtId="3" fontId="45" fillId="0" borderId="0" xfId="0" applyNumberFormat="1" applyFont="1" applyAlignment="1">
      <alignment horizontal="right"/>
    </xf>
    <xf numFmtId="0" fontId="121" fillId="0" borderId="0" xfId="0" applyFont="1"/>
    <xf numFmtId="0" fontId="122" fillId="0" borderId="0" xfId="0" applyFont="1"/>
    <xf numFmtId="0" fontId="45" fillId="0" borderId="0" xfId="0" applyFont="1" applyAlignment="1">
      <alignment horizontal="left" vertical="center"/>
    </xf>
    <xf numFmtId="3" fontId="45" fillId="0" borderId="0" xfId="0" applyNumberFormat="1" applyFont="1" applyAlignment="1">
      <alignment horizontal="right" vertical="center"/>
    </xf>
    <xf numFmtId="165" fontId="9" fillId="0" borderId="0" xfId="0" applyNumberFormat="1" applyFont="1"/>
    <xf numFmtId="3" fontId="121" fillId="0" borderId="0" xfId="0" applyNumberFormat="1" applyFont="1"/>
    <xf numFmtId="1" fontId="121" fillId="0" borderId="0" xfId="0" applyNumberFormat="1" applyFont="1"/>
    <xf numFmtId="3" fontId="115" fillId="0" borderId="0" xfId="0" applyNumberFormat="1" applyFont="1" applyAlignment="1">
      <alignment horizontal="right" vertical="center"/>
    </xf>
    <xf numFmtId="0" fontId="45" fillId="0" borderId="0" xfId="0" applyFont="1" applyAlignment="1">
      <alignment vertical="center"/>
    </xf>
    <xf numFmtId="164" fontId="45" fillId="0" borderId="0" xfId="1" applyNumberFormat="1" applyFont="1" applyFill="1" applyBorder="1" applyAlignment="1">
      <alignment vertical="center"/>
    </xf>
    <xf numFmtId="164" fontId="45" fillId="0" borderId="0" xfId="0" applyNumberFormat="1" applyFont="1" applyAlignment="1">
      <alignment vertical="center"/>
    </xf>
    <xf numFmtId="1" fontId="9" fillId="0" borderId="0" xfId="0" applyNumberFormat="1" applyFont="1"/>
    <xf numFmtId="0" fontId="45" fillId="0" borderId="0" xfId="0" applyFont="1" applyAlignment="1">
      <alignment horizontal="left" vertical="top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122" fillId="0" borderId="0" xfId="0" applyFont="1" applyAlignment="1">
      <alignment horizontal="left"/>
    </xf>
    <xf numFmtId="9" fontId="9" fillId="0" borderId="0" xfId="1" applyFont="1" applyFill="1" applyBorder="1"/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110" fillId="0" borderId="0" xfId="57" applyFont="1"/>
    <xf numFmtId="0" fontId="9" fillId="0" borderId="0" xfId="2"/>
    <xf numFmtId="0" fontId="124" fillId="0" borderId="0" xfId="2" applyFont="1" applyAlignment="1">
      <alignment horizontal="right"/>
    </xf>
    <xf numFmtId="167" fontId="109" fillId="0" borderId="0" xfId="2" applyNumberFormat="1" applyFont="1" applyAlignment="1">
      <alignment horizontal="right"/>
    </xf>
    <xf numFmtId="167" fontId="45" fillId="0" borderId="0" xfId="2" applyNumberFormat="1" applyFont="1" applyAlignment="1">
      <alignment horizontal="right"/>
    </xf>
    <xf numFmtId="3" fontId="123" fillId="0" borderId="0" xfId="2" applyNumberFormat="1" applyFont="1"/>
    <xf numFmtId="3" fontId="9" fillId="0" borderId="0" xfId="2" applyNumberFormat="1"/>
    <xf numFmtId="0" fontId="103" fillId="0" borderId="0" xfId="57" applyFont="1"/>
    <xf numFmtId="0" fontId="125" fillId="0" borderId="0" xfId="2" applyFont="1"/>
    <xf numFmtId="0" fontId="126" fillId="0" borderId="0" xfId="0" applyFont="1" applyAlignment="1">
      <alignment vertical="center"/>
    </xf>
    <xf numFmtId="0" fontId="104" fillId="0" borderId="0" xfId="0" applyFont="1"/>
    <xf numFmtId="0" fontId="126" fillId="0" borderId="0" xfId="0" applyFont="1" applyAlignment="1">
      <alignment wrapText="1"/>
    </xf>
    <xf numFmtId="0" fontId="126" fillId="0" borderId="0" xfId="0" applyFont="1" applyAlignment="1">
      <alignment vertical="center" wrapText="1"/>
    </xf>
    <xf numFmtId="0" fontId="126" fillId="0" borderId="0" xfId="0" applyFont="1"/>
    <xf numFmtId="0" fontId="10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4" fillId="0" borderId="0" xfId="0" applyFont="1" applyAlignment="1">
      <alignment vertical="center" wrapText="1"/>
    </xf>
    <xf numFmtId="0" fontId="9" fillId="2" borderId="0" xfId="0" applyFont="1" applyFill="1"/>
    <xf numFmtId="3" fontId="45" fillId="2" borderId="0" xfId="0" applyNumberFormat="1" applyFont="1" applyFill="1" applyAlignment="1">
      <alignment horizontal="right" vertical="center"/>
    </xf>
    <xf numFmtId="1" fontId="92" fillId="2" borderId="0" xfId="0" applyNumberFormat="1" applyFont="1" applyFill="1" applyAlignment="1">
      <alignment horizontal="right" vertical="center" wrapText="1"/>
    </xf>
    <xf numFmtId="0" fontId="92" fillId="2" borderId="0" xfId="0" applyFont="1" applyFill="1" applyAlignment="1">
      <alignment horizontal="right" wrapText="1"/>
    </xf>
    <xf numFmtId="0" fontId="118" fillId="0" borderId="0" xfId="0" applyFont="1" applyAlignment="1">
      <alignment horizontal="left" wrapText="1"/>
    </xf>
    <xf numFmtId="0" fontId="24" fillId="0" borderId="0" xfId="1535" applyFont="1"/>
    <xf numFmtId="0" fontId="27" fillId="0" borderId="0" xfId="1535" applyFont="1" applyAlignment="1">
      <alignment horizontal="left" vertical="center"/>
    </xf>
    <xf numFmtId="0" fontId="27" fillId="0" borderId="0" xfId="1535" applyFont="1" applyAlignment="1">
      <alignment horizontal="center" vertical="center"/>
    </xf>
    <xf numFmtId="49" fontId="28" fillId="0" borderId="0" xfId="1535" applyNumberFormat="1" applyFont="1" applyAlignment="1">
      <alignment vertical="center"/>
    </xf>
    <xf numFmtId="0" fontId="29" fillId="0" borderId="0" xfId="1535" applyFont="1"/>
    <xf numFmtId="0" fontId="30" fillId="0" borderId="0" xfId="1535" applyFont="1"/>
    <xf numFmtId="0" fontId="24" fillId="0" borderId="0" xfId="1535" applyFont="1" applyAlignment="1">
      <alignment horizontal="left" vertical="center"/>
    </xf>
    <xf numFmtId="0" fontId="30" fillId="0" borderId="0" xfId="1535" applyFont="1" applyAlignment="1">
      <alignment horizontal="center"/>
    </xf>
    <xf numFmtId="0" fontId="24" fillId="0" borderId="0" xfId="1535" applyFont="1" applyAlignment="1">
      <alignment horizontal="right" vertical="center"/>
    </xf>
    <xf numFmtId="0" fontId="24" fillId="0" borderId="0" xfId="1535" applyFont="1" applyAlignment="1">
      <alignment horizontal="left" vertical="center" indent="1"/>
    </xf>
    <xf numFmtId="0" fontId="31" fillId="0" borderId="0" xfId="1535" applyFont="1"/>
    <xf numFmtId="0" fontId="31" fillId="0" borderId="0" xfId="1535" applyFont="1" applyAlignment="1">
      <alignment horizontal="right" vertical="center"/>
    </xf>
    <xf numFmtId="0" fontId="31" fillId="0" borderId="0" xfId="1535" applyFont="1" applyAlignment="1">
      <alignment horizontal="left" vertical="center" indent="1"/>
    </xf>
    <xf numFmtId="49" fontId="27" fillId="0" borderId="0" xfId="1535" applyNumberFormat="1" applyFont="1" applyAlignment="1">
      <alignment vertical="center"/>
    </xf>
    <xf numFmtId="0" fontId="45" fillId="2" borderId="0" xfId="0" applyFont="1" applyFill="1"/>
    <xf numFmtId="0" fontId="45" fillId="2" borderId="0" xfId="0" applyFont="1" applyFill="1" applyAlignment="1">
      <alignment horizontal="center" vertical="center" wrapText="1"/>
    </xf>
    <xf numFmtId="0" fontId="45" fillId="2" borderId="0" xfId="0" applyFont="1" applyFill="1" applyAlignment="1">
      <alignment horizontal="right" vertical="center" wrapText="1"/>
    </xf>
    <xf numFmtId="0" fontId="45" fillId="2" borderId="25" xfId="0" applyFont="1" applyFill="1" applyBorder="1"/>
    <xf numFmtId="0" fontId="45" fillId="2" borderId="0" xfId="0" applyFont="1" applyFill="1" applyAlignment="1">
      <alignment horizontal="left" vertical="center"/>
    </xf>
    <xf numFmtId="3" fontId="45" fillId="2" borderId="30" xfId="0" applyNumberFormat="1" applyFont="1" applyFill="1" applyBorder="1" applyAlignment="1">
      <alignment vertical="center"/>
    </xf>
    <xf numFmtId="3" fontId="45" fillId="2" borderId="0" xfId="0" applyNumberFormat="1" applyFont="1" applyFill="1" applyAlignment="1">
      <alignment vertical="center"/>
    </xf>
    <xf numFmtId="3" fontId="108" fillId="2" borderId="33" xfId="0" applyNumberFormat="1" applyFont="1" applyFill="1" applyBorder="1" applyAlignment="1">
      <alignment vertical="center"/>
    </xf>
    <xf numFmtId="3" fontId="108" fillId="2" borderId="0" xfId="0" applyNumberFormat="1" applyFont="1" applyFill="1" applyAlignment="1">
      <alignment vertical="center"/>
    </xf>
    <xf numFmtId="0" fontId="45" fillId="2" borderId="25" xfId="0" applyFont="1" applyFill="1" applyBorder="1" applyAlignment="1">
      <alignment horizontal="left" vertical="center"/>
    </xf>
    <xf numFmtId="3" fontId="45" fillId="2" borderId="29" xfId="0" applyNumberFormat="1" applyFont="1" applyFill="1" applyBorder="1" applyAlignment="1">
      <alignment vertical="center"/>
    </xf>
    <xf numFmtId="3" fontId="45" fillId="2" borderId="25" xfId="0" applyNumberFormat="1" applyFont="1" applyFill="1" applyBorder="1" applyAlignment="1">
      <alignment vertical="center"/>
    </xf>
    <xf numFmtId="3" fontId="108" fillId="2" borderId="32" xfId="0" applyNumberFormat="1" applyFont="1" applyFill="1" applyBorder="1" applyAlignment="1">
      <alignment vertical="center"/>
    </xf>
    <xf numFmtId="3" fontId="108" fillId="2" borderId="25" xfId="0" applyNumberFormat="1" applyFont="1" applyFill="1" applyBorder="1" applyAlignment="1">
      <alignment vertical="center"/>
    </xf>
    <xf numFmtId="0" fontId="45" fillId="2" borderId="26" xfId="0" applyFont="1" applyFill="1" applyBorder="1" applyAlignment="1">
      <alignment horizontal="left" vertical="center"/>
    </xf>
    <xf numFmtId="3" fontId="45" fillId="2" borderId="28" xfId="0" applyNumberFormat="1" applyFont="1" applyFill="1" applyBorder="1" applyAlignment="1">
      <alignment vertical="center"/>
    </xf>
    <xf numFmtId="3" fontId="45" fillId="2" borderId="26" xfId="0" applyNumberFormat="1" applyFont="1" applyFill="1" applyBorder="1" applyAlignment="1">
      <alignment vertical="center"/>
    </xf>
    <xf numFmtId="3" fontId="108" fillId="2" borderId="31" xfId="0" applyNumberFormat="1" applyFont="1" applyFill="1" applyBorder="1" applyAlignment="1">
      <alignment vertical="center"/>
    </xf>
    <xf numFmtId="3" fontId="108" fillId="2" borderId="26" xfId="0" applyNumberFormat="1" applyFont="1" applyFill="1" applyBorder="1" applyAlignment="1">
      <alignment vertical="center"/>
    </xf>
    <xf numFmtId="3" fontId="45" fillId="2" borderId="27" xfId="0" applyNumberFormat="1" applyFont="1" applyFill="1" applyBorder="1" applyAlignment="1">
      <alignment vertical="center"/>
    </xf>
    <xf numFmtId="3" fontId="45" fillId="2" borderId="6" xfId="0" applyNumberFormat="1" applyFont="1" applyFill="1" applyBorder="1" applyAlignment="1">
      <alignment vertical="center"/>
    </xf>
    <xf numFmtId="3" fontId="108" fillId="2" borderId="34" xfId="0" applyNumberFormat="1" applyFont="1" applyFill="1" applyBorder="1" applyAlignment="1">
      <alignment vertical="center"/>
    </xf>
    <xf numFmtId="3" fontId="108" fillId="2" borderId="6" xfId="0" applyNumberFormat="1" applyFont="1" applyFill="1" applyBorder="1" applyAlignment="1">
      <alignment vertical="center"/>
    </xf>
    <xf numFmtId="0" fontId="45" fillId="2" borderId="0" xfId="0" applyFont="1" applyFill="1" applyAlignment="1">
      <alignment horizontal="right" vertical="center"/>
    </xf>
    <xf numFmtId="0" fontId="45" fillId="2" borderId="25" xfId="0" applyFont="1" applyFill="1" applyBorder="1" applyAlignment="1">
      <alignment horizontal="left" vertical="top"/>
    </xf>
    <xf numFmtId="0" fontId="108" fillId="0" borderId="0" xfId="2" applyFont="1" applyAlignment="1">
      <alignment horizontal="right" vertical="top" wrapText="1"/>
    </xf>
    <xf numFmtId="0" fontId="45" fillId="2" borderId="0" xfId="2" applyFont="1" applyFill="1" applyAlignment="1">
      <alignment horizontal="left" vertical="center"/>
    </xf>
    <xf numFmtId="165" fontId="45" fillId="2" borderId="0" xfId="2" applyNumberFormat="1" applyFont="1" applyFill="1" applyAlignment="1">
      <alignment horizontal="right" vertical="center"/>
    </xf>
    <xf numFmtId="165" fontId="45" fillId="2" borderId="0" xfId="2" applyNumberFormat="1" applyFont="1" applyFill="1" applyAlignment="1">
      <alignment vertical="center"/>
    </xf>
    <xf numFmtId="0" fontId="45" fillId="2" borderId="25" xfId="2" applyFont="1" applyFill="1" applyBorder="1" applyAlignment="1">
      <alignment horizontal="left" vertical="center"/>
    </xf>
    <xf numFmtId="165" fontId="45" fillId="2" borderId="25" xfId="2" applyNumberFormat="1" applyFont="1" applyFill="1" applyBorder="1" applyAlignment="1">
      <alignment horizontal="right" vertical="center"/>
    </xf>
    <xf numFmtId="165" fontId="45" fillId="2" borderId="25" xfId="2" applyNumberFormat="1" applyFont="1" applyFill="1" applyBorder="1" applyAlignment="1">
      <alignment vertical="center"/>
    </xf>
    <xf numFmtId="0" fontId="45" fillId="2" borderId="2" xfId="2" applyFont="1" applyFill="1" applyBorder="1" applyAlignment="1">
      <alignment horizontal="left" vertical="center"/>
    </xf>
    <xf numFmtId="165" fontId="45" fillId="2" borderId="30" xfId="2" applyNumberFormat="1" applyFont="1" applyFill="1" applyBorder="1" applyAlignment="1">
      <alignment horizontal="right" vertical="center"/>
    </xf>
    <xf numFmtId="165" fontId="45" fillId="2" borderId="29" xfId="2" applyNumberFormat="1" applyFont="1" applyFill="1" applyBorder="1" applyAlignment="1">
      <alignment horizontal="right" vertical="center"/>
    </xf>
    <xf numFmtId="165" fontId="45" fillId="2" borderId="33" xfId="2" applyNumberFormat="1" applyFont="1" applyFill="1" applyBorder="1" applyAlignment="1">
      <alignment vertical="center"/>
    </xf>
    <xf numFmtId="165" fontId="45" fillId="2" borderId="32" xfId="2" applyNumberFormat="1" applyFont="1" applyFill="1" applyBorder="1" applyAlignment="1">
      <alignment vertical="center"/>
    </xf>
    <xf numFmtId="165" fontId="45" fillId="2" borderId="33" xfId="2" applyNumberFormat="1" applyFont="1" applyFill="1" applyBorder="1" applyAlignment="1">
      <alignment horizontal="right" vertical="center"/>
    </xf>
    <xf numFmtId="165" fontId="45" fillId="2" borderId="32" xfId="2" applyNumberFormat="1" applyFont="1" applyFill="1" applyBorder="1" applyAlignment="1">
      <alignment horizontal="right" vertical="center"/>
    </xf>
    <xf numFmtId="165" fontId="45" fillId="2" borderId="30" xfId="2" applyNumberFormat="1" applyFont="1" applyFill="1" applyBorder="1" applyAlignment="1">
      <alignment vertical="center"/>
    </xf>
    <xf numFmtId="165" fontId="45" fillId="2" borderId="29" xfId="2" applyNumberFormat="1" applyFont="1" applyFill="1" applyBorder="1" applyAlignment="1">
      <alignment vertical="center"/>
    </xf>
    <xf numFmtId="0" fontId="108" fillId="2" borderId="33" xfId="2" applyFont="1" applyFill="1" applyBorder="1" applyAlignment="1">
      <alignment horizontal="center" vertical="center" wrapText="1"/>
    </xf>
    <xf numFmtId="0" fontId="108" fillId="0" borderId="32" xfId="2" applyFont="1" applyBorder="1"/>
    <xf numFmtId="0" fontId="108" fillId="2" borderId="29" xfId="2" applyFont="1" applyFill="1" applyBorder="1" applyAlignment="1">
      <alignment horizontal="right" wrapText="1"/>
    </xf>
    <xf numFmtId="0" fontId="108" fillId="2" borderId="25" xfId="2" applyFont="1" applyFill="1" applyBorder="1" applyAlignment="1">
      <alignment horizontal="right" wrapText="1"/>
    </xf>
    <xf numFmtId="0" fontId="108" fillId="2" borderId="32" xfId="2" applyFont="1" applyFill="1" applyBorder="1" applyAlignment="1">
      <alignment horizontal="right" wrapText="1"/>
    </xf>
    <xf numFmtId="0" fontId="108" fillId="2" borderId="25" xfId="2" applyFont="1" applyFill="1" applyBorder="1" applyAlignment="1">
      <alignment horizontal="left" vertical="top" wrapText="1"/>
    </xf>
    <xf numFmtId="0" fontId="108" fillId="2" borderId="32" xfId="2" applyFont="1" applyFill="1" applyBorder="1" applyAlignment="1">
      <alignment horizontal="left" vertical="top" wrapText="1"/>
    </xf>
    <xf numFmtId="0" fontId="108" fillId="2" borderId="0" xfId="0" applyFont="1" applyFill="1"/>
    <xf numFmtId="0" fontId="108" fillId="2" borderId="25" xfId="0" applyFont="1" applyFill="1" applyBorder="1"/>
    <xf numFmtId="0" fontId="108" fillId="2" borderId="29" xfId="0" applyFont="1" applyFill="1" applyBorder="1" applyAlignment="1">
      <alignment horizontal="right"/>
    </xf>
    <xf numFmtId="0" fontId="108" fillId="2" borderId="25" xfId="0" applyFont="1" applyFill="1" applyBorder="1" applyAlignment="1">
      <alignment horizontal="right"/>
    </xf>
    <xf numFmtId="1" fontId="108" fillId="2" borderId="32" xfId="0" applyNumberFormat="1" applyFont="1" applyFill="1" applyBorder="1" applyAlignment="1">
      <alignment horizontal="right"/>
    </xf>
    <xf numFmtId="1" fontId="108" fillId="2" borderId="25" xfId="0" applyNumberFormat="1" applyFont="1" applyFill="1" applyBorder="1" applyAlignment="1">
      <alignment horizontal="right"/>
    </xf>
    <xf numFmtId="0" fontId="108" fillId="2" borderId="31" xfId="2" applyFont="1" applyFill="1" applyBorder="1" applyAlignment="1">
      <alignment horizontal="left" vertical="center"/>
    </xf>
    <xf numFmtId="1" fontId="111" fillId="0" borderId="0" xfId="2" applyNumberFormat="1" applyFont="1" applyAlignment="1">
      <alignment horizontal="left" vertical="top" wrapText="1"/>
    </xf>
    <xf numFmtId="0" fontId="108" fillId="0" borderId="0" xfId="2" applyFont="1" applyAlignment="1">
      <alignment vertical="top" wrapText="1"/>
    </xf>
    <xf numFmtId="0" fontId="112" fillId="0" borderId="0" xfId="2" applyFont="1" applyAlignment="1">
      <alignment horizontal="left" vertical="top" wrapText="1"/>
    </xf>
    <xf numFmtId="165" fontId="45" fillId="2" borderId="0" xfId="2" applyNumberFormat="1" applyFont="1" applyFill="1" applyAlignment="1">
      <alignment horizontal="right"/>
    </xf>
    <xf numFmtId="0" fontId="45" fillId="2" borderId="0" xfId="2" applyFont="1" applyFill="1" applyAlignment="1">
      <alignment horizontal="center" vertical="center" wrapText="1"/>
    </xf>
    <xf numFmtId="164" fontId="45" fillId="2" borderId="0" xfId="1" applyNumberFormat="1" applyFont="1" applyFill="1" applyBorder="1" applyAlignment="1">
      <alignment vertical="center"/>
    </xf>
    <xf numFmtId="165" fontId="45" fillId="2" borderId="0" xfId="20" applyNumberFormat="1" applyFont="1" applyFill="1" applyAlignment="1">
      <alignment horizontal="right" vertical="center"/>
    </xf>
    <xf numFmtId="0" fontId="45" fillId="2" borderId="25" xfId="2" applyFont="1" applyFill="1" applyBorder="1" applyAlignment="1">
      <alignment horizontal="left"/>
    </xf>
    <xf numFmtId="164" fontId="45" fillId="2" borderId="25" xfId="1" applyNumberFormat="1" applyFont="1" applyFill="1" applyBorder="1" applyAlignment="1">
      <alignment vertical="center"/>
    </xf>
    <xf numFmtId="165" fontId="45" fillId="2" borderId="25" xfId="2" applyNumberFormat="1" applyFont="1" applyFill="1" applyBorder="1" applyAlignment="1">
      <alignment horizontal="right"/>
    </xf>
    <xf numFmtId="0" fontId="45" fillId="2" borderId="6" xfId="2" applyFont="1" applyFill="1" applyBorder="1" applyAlignment="1">
      <alignment horizontal="left" vertical="center"/>
    </xf>
    <xf numFmtId="0" fontId="108" fillId="2" borderId="0" xfId="2" applyFont="1" applyFill="1" applyAlignment="1">
      <alignment horizontal="center" vertical="center" wrapText="1"/>
    </xf>
    <xf numFmtId="0" fontId="108" fillId="2" borderId="25" xfId="2" applyFont="1" applyFill="1" applyBorder="1" applyAlignment="1">
      <alignment horizontal="left"/>
    </xf>
    <xf numFmtId="0" fontId="108" fillId="2" borderId="25" xfId="0" applyFont="1" applyFill="1" applyBorder="1" applyAlignment="1">
      <alignment horizontal="right" wrapText="1"/>
    </xf>
    <xf numFmtId="165" fontId="45" fillId="2" borderId="30" xfId="20" applyNumberFormat="1" applyFont="1" applyFill="1" applyBorder="1" applyAlignment="1">
      <alignment horizontal="right" vertical="center"/>
    </xf>
    <xf numFmtId="0" fontId="108" fillId="2" borderId="29" xfId="0" applyFont="1" applyFill="1" applyBorder="1" applyAlignment="1">
      <alignment horizontal="right" wrapText="1"/>
    </xf>
    <xf numFmtId="0" fontId="108" fillId="2" borderId="32" xfId="0" applyFont="1" applyFill="1" applyBorder="1" applyAlignment="1">
      <alignment horizontal="right" wrapText="1"/>
    </xf>
    <xf numFmtId="165" fontId="45" fillId="2" borderId="33" xfId="20" applyNumberFormat="1" applyFont="1" applyFill="1" applyBorder="1" applyAlignment="1">
      <alignment horizontal="right" vertical="center"/>
    </xf>
    <xf numFmtId="0" fontId="45" fillId="0" borderId="32" xfId="2" applyFont="1" applyBorder="1"/>
    <xf numFmtId="0" fontId="108" fillId="2" borderId="29" xfId="0" applyFont="1" applyFill="1" applyBorder="1" applyAlignment="1">
      <alignment horizontal="right" textRotation="90" wrapText="1"/>
    </xf>
    <xf numFmtId="0" fontId="108" fillId="2" borderId="25" xfId="0" applyFont="1" applyFill="1" applyBorder="1" applyAlignment="1">
      <alignment horizontal="right" textRotation="90" wrapText="1"/>
    </xf>
    <xf numFmtId="0" fontId="108" fillId="2" borderId="32" xfId="0" applyFont="1" applyFill="1" applyBorder="1" applyAlignment="1">
      <alignment horizontal="right" textRotation="90" wrapText="1"/>
    </xf>
    <xf numFmtId="0" fontId="108" fillId="2" borderId="6" xfId="2" applyFont="1" applyFill="1" applyBorder="1" applyAlignment="1">
      <alignment horizontal="left" vertical="center"/>
    </xf>
    <xf numFmtId="0" fontId="132" fillId="0" borderId="25" xfId="0" applyFont="1" applyBorder="1"/>
    <xf numFmtId="1" fontId="108" fillId="2" borderId="29" xfId="2" applyNumberFormat="1" applyFont="1" applyFill="1" applyBorder="1" applyAlignment="1">
      <alignment horizontal="right" wrapText="1"/>
    </xf>
    <xf numFmtId="1" fontId="108" fillId="2" borderId="25" xfId="2" applyNumberFormat="1" applyFont="1" applyFill="1" applyBorder="1" applyAlignment="1">
      <alignment horizontal="right" wrapText="1"/>
    </xf>
    <xf numFmtId="1" fontId="108" fillId="2" borderId="32" xfId="2" applyNumberFormat="1" applyFont="1" applyFill="1" applyBorder="1" applyAlignment="1">
      <alignment horizontal="right" wrapText="1"/>
    </xf>
    <xf numFmtId="0" fontId="108" fillId="2" borderId="25" xfId="2" applyFont="1" applyFill="1" applyBorder="1" applyAlignment="1">
      <alignment horizontal="right" textRotation="90" wrapText="1"/>
    </xf>
    <xf numFmtId="3" fontId="45" fillId="2" borderId="0" xfId="2" applyNumberFormat="1" applyFont="1" applyFill="1" applyAlignment="1">
      <alignment horizontal="right" vertical="center"/>
    </xf>
    <xf numFmtId="3" fontId="45" fillId="2" borderId="0" xfId="2" applyNumberFormat="1" applyFont="1" applyFill="1" applyAlignment="1">
      <alignment vertical="center"/>
    </xf>
    <xf numFmtId="0" fontId="108" fillId="0" borderId="25" xfId="2" applyFont="1" applyBorder="1" applyAlignment="1">
      <alignment horizontal="right" vertical="top" wrapText="1"/>
    </xf>
    <xf numFmtId="3" fontId="45" fillId="2" borderId="25" xfId="2" applyNumberFormat="1" applyFont="1" applyFill="1" applyBorder="1" applyAlignment="1">
      <alignment horizontal="right" vertical="center"/>
    </xf>
    <xf numFmtId="3" fontId="45" fillId="2" borderId="25" xfId="2" applyNumberFormat="1" applyFont="1" applyFill="1" applyBorder="1" applyAlignment="1">
      <alignment vertical="center"/>
    </xf>
    <xf numFmtId="3" fontId="45" fillId="2" borderId="30" xfId="2" applyNumberFormat="1" applyFont="1" applyFill="1" applyBorder="1" applyAlignment="1">
      <alignment horizontal="right" vertical="center"/>
    </xf>
    <xf numFmtId="3" fontId="45" fillId="2" borderId="29" xfId="2" applyNumberFormat="1" applyFont="1" applyFill="1" applyBorder="1" applyAlignment="1">
      <alignment horizontal="right" vertical="center"/>
    </xf>
    <xf numFmtId="3" fontId="45" fillId="2" borderId="33" xfId="2" applyNumberFormat="1" applyFont="1" applyFill="1" applyBorder="1" applyAlignment="1">
      <alignment vertical="center"/>
    </xf>
    <xf numFmtId="3" fontId="45" fillId="2" borderId="32" xfId="2" applyNumberFormat="1" applyFont="1" applyFill="1" applyBorder="1" applyAlignment="1">
      <alignment vertical="center"/>
    </xf>
    <xf numFmtId="3" fontId="45" fillId="2" borderId="33" xfId="2" applyNumberFormat="1" applyFont="1" applyFill="1" applyBorder="1" applyAlignment="1">
      <alignment horizontal="right" vertical="center"/>
    </xf>
    <xf numFmtId="0" fontId="108" fillId="2" borderId="30" xfId="2" applyFont="1" applyFill="1" applyBorder="1"/>
    <xf numFmtId="0" fontId="108" fillId="2" borderId="0" xfId="2" applyFont="1" applyFill="1"/>
    <xf numFmtId="0" fontId="108" fillId="2" borderId="33" xfId="2" applyFont="1" applyFill="1" applyBorder="1"/>
    <xf numFmtId="0" fontId="108" fillId="2" borderId="0" xfId="2" applyFont="1" applyFill="1" applyAlignment="1">
      <alignment horizontal="left" vertical="center" wrapText="1"/>
    </xf>
    <xf numFmtId="0" fontId="108" fillId="2" borderId="0" xfId="2" applyFont="1" applyFill="1" applyAlignment="1">
      <alignment vertical="center" wrapText="1"/>
    </xf>
    <xf numFmtId="0" fontId="108" fillId="2" borderId="30" xfId="2" applyFont="1" applyFill="1" applyBorder="1" applyAlignment="1">
      <alignment vertical="center" wrapText="1"/>
    </xf>
    <xf numFmtId="0" fontId="108" fillId="2" borderId="0" xfId="0" applyFont="1" applyFill="1" applyAlignment="1">
      <alignment vertical="center"/>
    </xf>
    <xf numFmtId="1" fontId="111" fillId="0" borderId="25" xfId="0" applyNumberFormat="1" applyFont="1" applyBorder="1" applyAlignment="1">
      <alignment vertical="top"/>
    </xf>
    <xf numFmtId="0" fontId="92" fillId="0" borderId="25" xfId="0" applyFont="1" applyBorder="1" applyAlignment="1">
      <alignment vertical="top" wrapText="1"/>
    </xf>
    <xf numFmtId="165" fontId="45" fillId="2" borderId="0" xfId="0" applyNumberFormat="1" applyFont="1" applyFill="1"/>
    <xf numFmtId="165" fontId="45" fillId="2" borderId="0" xfId="0" applyNumberFormat="1" applyFont="1" applyFill="1" applyAlignment="1">
      <alignment vertical="center"/>
    </xf>
    <xf numFmtId="3" fontId="45" fillId="2" borderId="0" xfId="0" applyNumberFormat="1" applyFont="1" applyFill="1" applyAlignment="1">
      <alignment vertical="top" wrapText="1"/>
    </xf>
    <xf numFmtId="165" fontId="45" fillId="2" borderId="0" xfId="0" applyNumberFormat="1" applyFont="1" applyFill="1" applyAlignment="1">
      <alignment vertical="top" wrapText="1"/>
    </xf>
    <xf numFmtId="3" fontId="45" fillId="2" borderId="0" xfId="0" applyNumberFormat="1" applyFont="1" applyFill="1"/>
    <xf numFmtId="3" fontId="45" fillId="2" borderId="0" xfId="0" applyNumberFormat="1" applyFont="1" applyFill="1" applyAlignment="1">
      <alignment vertical="top"/>
    </xf>
    <xf numFmtId="0" fontId="108" fillId="2" borderId="25" xfId="0" applyFont="1" applyFill="1" applyBorder="1" applyAlignment="1">
      <alignment horizontal="left" wrapText="1"/>
    </xf>
    <xf numFmtId="165" fontId="45" fillId="2" borderId="25" xfId="0" applyNumberFormat="1" applyFont="1" applyFill="1" applyBorder="1" applyAlignment="1">
      <alignment vertical="center"/>
    </xf>
    <xf numFmtId="0" fontId="45" fillId="2" borderId="6" xfId="0" applyFont="1" applyFill="1" applyBorder="1" applyAlignment="1">
      <alignment horizontal="left" vertical="center"/>
    </xf>
    <xf numFmtId="165" fontId="45" fillId="2" borderId="6" xfId="0" applyNumberFormat="1" applyFont="1" applyFill="1" applyBorder="1" applyAlignment="1">
      <alignment vertical="center"/>
    </xf>
    <xf numFmtId="3" fontId="45" fillId="2" borderId="30" xfId="0" applyNumberFormat="1" applyFont="1" applyFill="1" applyBorder="1"/>
    <xf numFmtId="3" fontId="45" fillId="2" borderId="30" xfId="0" applyNumberFormat="1" applyFont="1" applyFill="1" applyBorder="1" applyAlignment="1">
      <alignment vertical="top"/>
    </xf>
    <xf numFmtId="165" fontId="45" fillId="2" borderId="33" xfId="0" applyNumberFormat="1" applyFont="1" applyFill="1" applyBorder="1"/>
    <xf numFmtId="165" fontId="45" fillId="2" borderId="33" xfId="0" applyNumberFormat="1" applyFont="1" applyFill="1" applyBorder="1" applyAlignment="1">
      <alignment vertical="center"/>
    </xf>
    <xf numFmtId="165" fontId="45" fillId="2" borderId="33" xfId="0" applyNumberFormat="1" applyFont="1" applyFill="1" applyBorder="1" applyAlignment="1">
      <alignment vertical="top" wrapText="1"/>
    </xf>
    <xf numFmtId="165" fontId="45" fillId="2" borderId="32" xfId="0" applyNumberFormat="1" applyFont="1" applyFill="1" applyBorder="1" applyAlignment="1">
      <alignment vertical="center"/>
    </xf>
    <xf numFmtId="165" fontId="45" fillId="2" borderId="34" xfId="0" applyNumberFormat="1" applyFont="1" applyFill="1" applyBorder="1" applyAlignment="1">
      <alignment vertical="center"/>
    </xf>
    <xf numFmtId="0" fontId="108" fillId="2" borderId="0" xfId="0" applyFont="1" applyFill="1" applyAlignment="1">
      <alignment horizontal="right" wrapText="1"/>
    </xf>
    <xf numFmtId="0" fontId="119" fillId="2" borderId="32" xfId="0" applyFont="1" applyFill="1" applyBorder="1" applyAlignment="1">
      <alignment vertical="center"/>
    </xf>
    <xf numFmtId="0" fontId="45" fillId="0" borderId="0" xfId="0" applyFont="1" applyAlignment="1">
      <alignment horizontal="left"/>
    </xf>
    <xf numFmtId="0" fontId="45" fillId="0" borderId="25" xfId="0" applyFont="1" applyBorder="1" applyAlignment="1">
      <alignment horizontal="left" wrapText="1"/>
    </xf>
    <xf numFmtId="0" fontId="9" fillId="0" borderId="25" xfId="0" applyFont="1" applyBorder="1"/>
    <xf numFmtId="3" fontId="45" fillId="0" borderId="25" xfId="0" applyNumberFormat="1" applyFont="1" applyBorder="1" applyAlignment="1">
      <alignment horizontal="right"/>
    </xf>
    <xf numFmtId="3" fontId="45" fillId="0" borderId="28" xfId="0" applyNumberFormat="1" applyFont="1" applyBorder="1"/>
    <xf numFmtId="3" fontId="45" fillId="0" borderId="26" xfId="0" applyNumberFormat="1" applyFont="1" applyBorder="1"/>
    <xf numFmtId="3" fontId="45" fillId="0" borderId="30" xfId="0" applyNumberFormat="1" applyFont="1" applyBorder="1" applyAlignment="1">
      <alignment horizontal="right"/>
    </xf>
    <xf numFmtId="3" fontId="45" fillId="0" borderId="29" xfId="0" applyNumberFormat="1" applyFont="1" applyBorder="1" applyAlignment="1">
      <alignment horizontal="right"/>
    </xf>
    <xf numFmtId="0" fontId="120" fillId="0" borderId="30" xfId="0" applyFont="1" applyBorder="1"/>
    <xf numFmtId="3" fontId="117" fillId="0" borderId="30" xfId="0" applyNumberFormat="1" applyFont="1" applyBorder="1" applyAlignment="1">
      <alignment horizontal="right"/>
    </xf>
    <xf numFmtId="0" fontId="117" fillId="0" borderId="30" xfId="0" applyFont="1" applyBorder="1" applyAlignment="1">
      <alignment horizontal="right"/>
    </xf>
    <xf numFmtId="0" fontId="120" fillId="0" borderId="33" xfId="0" applyFont="1" applyBorder="1"/>
    <xf numFmtId="0" fontId="9" fillId="0" borderId="32" xfId="0" applyFont="1" applyBorder="1"/>
    <xf numFmtId="0" fontId="126" fillId="0" borderId="30" xfId="0" applyFont="1" applyBorder="1" applyAlignment="1">
      <alignment horizontal="left" vertical="top"/>
    </xf>
    <xf numFmtId="0" fontId="108" fillId="2" borderId="0" xfId="0" applyFont="1" applyFill="1" applyAlignment="1">
      <alignment horizontal="left" vertical="center"/>
    </xf>
    <xf numFmtId="1" fontId="92" fillId="0" borderId="0" xfId="0" applyNumberFormat="1" applyFont="1" applyAlignment="1">
      <alignment vertical="center" wrapText="1"/>
    </xf>
    <xf numFmtId="1" fontId="92" fillId="0" borderId="0" xfId="0" applyNumberFormat="1" applyFont="1" applyAlignment="1">
      <alignment horizontal="left" vertical="center" wrapText="1"/>
    </xf>
    <xf numFmtId="0" fontId="92" fillId="0" borderId="0" xfId="0" applyFont="1" applyAlignment="1">
      <alignment vertical="center" wrapText="1"/>
    </xf>
    <xf numFmtId="1" fontId="9" fillId="0" borderId="0" xfId="0" applyNumberFormat="1" applyFont="1" applyAlignment="1">
      <alignment vertical="center" wrapText="1"/>
    </xf>
    <xf numFmtId="1" fontId="108" fillId="2" borderId="0" xfId="0" applyNumberFormat="1" applyFont="1" applyFill="1" applyAlignment="1">
      <alignment horizontal="right" vertical="center" wrapText="1"/>
    </xf>
    <xf numFmtId="0" fontId="108" fillId="2" borderId="0" xfId="0" applyFont="1" applyFill="1" applyAlignment="1">
      <alignment horizontal="left" wrapText="1"/>
    </xf>
    <xf numFmtId="0" fontId="45" fillId="2" borderId="0" xfId="0" applyFont="1" applyFill="1" applyAlignment="1">
      <alignment wrapText="1"/>
    </xf>
    <xf numFmtId="164" fontId="45" fillId="2" borderId="0" xfId="1" applyNumberFormat="1" applyFont="1" applyFill="1" applyBorder="1" applyAlignment="1">
      <alignment horizontal="right" vertical="center"/>
    </xf>
    <xf numFmtId="3" fontId="45" fillId="2" borderId="26" xfId="0" applyNumberFormat="1" applyFont="1" applyFill="1" applyBorder="1" applyAlignment="1">
      <alignment horizontal="right" vertical="center"/>
    </xf>
    <xf numFmtId="164" fontId="45" fillId="2" borderId="26" xfId="1" applyNumberFormat="1" applyFont="1" applyFill="1" applyBorder="1" applyAlignment="1">
      <alignment horizontal="right" vertical="center"/>
    </xf>
    <xf numFmtId="3" fontId="45" fillId="2" borderId="25" xfId="0" applyNumberFormat="1" applyFont="1" applyFill="1" applyBorder="1" applyAlignment="1">
      <alignment horizontal="right" vertical="center"/>
    </xf>
    <xf numFmtId="164" fontId="45" fillId="2" borderId="25" xfId="1" applyNumberFormat="1" applyFont="1" applyFill="1" applyBorder="1" applyAlignment="1">
      <alignment horizontal="right" vertical="center"/>
    </xf>
    <xf numFmtId="3" fontId="45" fillId="2" borderId="28" xfId="0" applyNumberFormat="1" applyFont="1" applyFill="1" applyBorder="1" applyAlignment="1">
      <alignment horizontal="right" vertical="center"/>
    </xf>
    <xf numFmtId="3" fontId="45" fillId="2" borderId="30" xfId="0" applyNumberFormat="1" applyFont="1" applyFill="1" applyBorder="1" applyAlignment="1">
      <alignment horizontal="right" vertical="center"/>
    </xf>
    <xf numFmtId="3" fontId="45" fillId="2" borderId="29" xfId="0" applyNumberFormat="1" applyFont="1" applyFill="1" applyBorder="1" applyAlignment="1">
      <alignment horizontal="right" vertical="center"/>
    </xf>
    <xf numFmtId="1" fontId="92" fillId="0" borderId="25" xfId="0" applyNumberFormat="1" applyFont="1" applyBorder="1" applyAlignment="1">
      <alignment vertical="center" wrapText="1"/>
    </xf>
    <xf numFmtId="1" fontId="92" fillId="0" borderId="25" xfId="0" applyNumberFormat="1" applyFont="1" applyBorder="1" applyAlignment="1">
      <alignment horizontal="left" vertical="center" wrapText="1"/>
    </xf>
    <xf numFmtId="0" fontId="92" fillId="0" borderId="25" xfId="0" applyFont="1" applyBorder="1" applyAlignment="1">
      <alignment vertical="center" wrapText="1"/>
    </xf>
    <xf numFmtId="0" fontId="108" fillId="2" borderId="25" xfId="0" applyFont="1" applyFill="1" applyBorder="1" applyAlignment="1">
      <alignment horizontal="left" vertical="center"/>
    </xf>
    <xf numFmtId="3" fontId="108" fillId="2" borderId="25" xfId="0" applyNumberFormat="1" applyFont="1" applyFill="1" applyBorder="1" applyAlignment="1">
      <alignment horizontal="right" vertical="center"/>
    </xf>
    <xf numFmtId="164" fontId="108" fillId="2" borderId="25" xfId="1" applyNumberFormat="1" applyFont="1" applyFill="1" applyBorder="1" applyAlignment="1">
      <alignment horizontal="right" vertical="center"/>
    </xf>
    <xf numFmtId="3" fontId="108" fillId="2" borderId="29" xfId="0" applyNumberFormat="1" applyFont="1" applyFill="1" applyBorder="1" applyAlignment="1">
      <alignment horizontal="right" vertical="center"/>
    </xf>
    <xf numFmtId="0" fontId="108" fillId="2" borderId="25" xfId="0" applyFont="1" applyFill="1" applyBorder="1" applyAlignment="1">
      <alignment vertical="top" wrapText="1"/>
    </xf>
    <xf numFmtId="0" fontId="108" fillId="2" borderId="25" xfId="0" applyFont="1" applyFill="1" applyBorder="1" applyAlignment="1">
      <alignment horizontal="left" vertical="top" wrapText="1"/>
    </xf>
    <xf numFmtId="165" fontId="114" fillId="2" borderId="0" xfId="1" applyNumberFormat="1" applyFont="1" applyFill="1" applyBorder="1" applyAlignment="1">
      <alignment horizontal="right" vertical="center"/>
    </xf>
    <xf numFmtId="165" fontId="114" fillId="2" borderId="0" xfId="0" applyNumberFormat="1" applyFont="1" applyFill="1" applyAlignment="1">
      <alignment horizontal="right" vertical="center"/>
    </xf>
    <xf numFmtId="165" fontId="45" fillId="2" borderId="0" xfId="1" applyNumberFormat="1" applyFont="1" applyFill="1" applyBorder="1" applyAlignment="1">
      <alignment horizontal="right" vertical="center"/>
    </xf>
    <xf numFmtId="165" fontId="45" fillId="2" borderId="0" xfId="0" applyNumberFormat="1" applyFont="1" applyFill="1" applyAlignment="1">
      <alignment horizontal="right" vertical="center"/>
    </xf>
    <xf numFmtId="165" fontId="45" fillId="2" borderId="25" xfId="1" applyNumberFormat="1" applyFont="1" applyFill="1" applyBorder="1" applyAlignment="1">
      <alignment horizontal="right" vertical="center"/>
    </xf>
    <xf numFmtId="165" fontId="45" fillId="2" borderId="25" xfId="0" applyNumberFormat="1" applyFont="1" applyFill="1" applyBorder="1" applyAlignment="1">
      <alignment horizontal="right" vertical="center"/>
    </xf>
    <xf numFmtId="165" fontId="114" fillId="2" borderId="30" xfId="1" applyNumberFormat="1" applyFont="1" applyFill="1" applyBorder="1" applyAlignment="1">
      <alignment horizontal="right" vertical="center"/>
    </xf>
    <xf numFmtId="165" fontId="45" fillId="2" borderId="29" xfId="1" applyNumberFormat="1" applyFont="1" applyFill="1" applyBorder="1" applyAlignment="1">
      <alignment horizontal="right" vertical="center"/>
    </xf>
    <xf numFmtId="164" fontId="45" fillId="2" borderId="33" xfId="1" applyNumberFormat="1" applyFont="1" applyFill="1" applyBorder="1" applyAlignment="1">
      <alignment horizontal="right" vertical="center"/>
    </xf>
    <xf numFmtId="164" fontId="45" fillId="2" borderId="32" xfId="1" applyNumberFormat="1" applyFont="1" applyFill="1" applyBorder="1" applyAlignment="1">
      <alignment horizontal="right" vertical="center"/>
    </xf>
    <xf numFmtId="3" fontId="45" fillId="2" borderId="30" xfId="2" applyNumberFormat="1" applyFont="1" applyFill="1" applyBorder="1" applyAlignment="1">
      <alignment vertical="center"/>
    </xf>
    <xf numFmtId="3" fontId="45" fillId="2" borderId="29" xfId="2" applyNumberFormat="1" applyFont="1" applyFill="1" applyBorder="1" applyAlignment="1">
      <alignment vertical="center"/>
    </xf>
    <xf numFmtId="0" fontId="108" fillId="2" borderId="26" xfId="2" applyFont="1" applyFill="1" applyBorder="1" applyAlignment="1">
      <alignment horizontal="left" vertical="center" wrapText="1"/>
    </xf>
    <xf numFmtId="0" fontId="45" fillId="2" borderId="32" xfId="2" applyFont="1" applyFill="1" applyBorder="1" applyAlignment="1">
      <alignment horizontal="left"/>
    </xf>
    <xf numFmtId="0" fontId="108" fillId="2" borderId="29" xfId="2" applyFont="1" applyFill="1" applyBorder="1" applyAlignment="1">
      <alignment horizontal="right" textRotation="90" wrapText="1"/>
    </xf>
    <xf numFmtId="0" fontId="108" fillId="2" borderId="32" xfId="2" applyFont="1" applyFill="1" applyBorder="1" applyAlignment="1">
      <alignment horizontal="right" textRotation="90" wrapText="1"/>
    </xf>
    <xf numFmtId="0" fontId="108" fillId="2" borderId="26" xfId="0" applyFont="1" applyFill="1" applyBorder="1" applyAlignment="1">
      <alignment horizontal="left" vertical="top" wrapText="1"/>
    </xf>
    <xf numFmtId="0" fontId="108" fillId="2" borderId="28" xfId="0" applyFont="1" applyFill="1" applyBorder="1" applyAlignment="1">
      <alignment horizontal="left" vertical="top" wrapText="1"/>
    </xf>
    <xf numFmtId="0" fontId="108" fillId="2" borderId="26" xfId="0" applyFont="1" applyFill="1" applyBorder="1" applyAlignment="1">
      <alignment vertical="center" wrapText="1"/>
    </xf>
    <xf numFmtId="0" fontId="108" fillId="2" borderId="29" xfId="0" applyFont="1" applyFill="1" applyBorder="1" applyAlignment="1">
      <alignment vertical="top" wrapText="1"/>
    </xf>
    <xf numFmtId="164" fontId="109" fillId="2" borderId="0" xfId="1" applyNumberFormat="1" applyFont="1" applyFill="1" applyBorder="1" applyAlignment="1">
      <alignment horizontal="right" vertical="center"/>
    </xf>
    <xf numFmtId="0" fontId="108" fillId="2" borderId="30" xfId="0" applyFont="1" applyFill="1" applyBorder="1" applyAlignment="1">
      <alignment horizontal="right"/>
    </xf>
    <xf numFmtId="0" fontId="108" fillId="2" borderId="0" xfId="0" applyFont="1" applyFill="1" applyAlignment="1">
      <alignment horizontal="right"/>
    </xf>
    <xf numFmtId="0" fontId="134" fillId="2" borderId="30" xfId="0" applyFont="1" applyFill="1" applyBorder="1" applyAlignment="1">
      <alignment horizontal="right" wrapText="1"/>
    </xf>
    <xf numFmtId="0" fontId="134" fillId="2" borderId="0" xfId="0" applyFont="1" applyFill="1" applyAlignment="1">
      <alignment horizontal="right" wrapText="1"/>
    </xf>
    <xf numFmtId="0" fontId="108" fillId="2" borderId="25" xfId="0" applyFont="1" applyFill="1" applyBorder="1" applyAlignment="1">
      <alignment horizontal="left" vertical="center" wrapText="1"/>
    </xf>
    <xf numFmtId="0" fontId="134" fillId="2" borderId="29" xfId="0" applyFont="1" applyFill="1" applyBorder="1" applyAlignment="1">
      <alignment horizontal="right" wrapText="1"/>
    </xf>
    <xf numFmtId="0" fontId="134" fillId="2" borderId="25" xfId="0" applyFont="1" applyFill="1" applyBorder="1" applyAlignment="1">
      <alignment horizontal="right" wrapText="1"/>
    </xf>
    <xf numFmtId="0" fontId="92" fillId="2" borderId="0" xfId="0" applyFont="1" applyFill="1" applyAlignment="1">
      <alignment horizontal="left" wrapText="1"/>
    </xf>
    <xf numFmtId="1" fontId="108" fillId="2" borderId="26" xfId="0" applyNumberFormat="1" applyFont="1" applyFill="1" applyBorder="1" applyAlignment="1">
      <alignment horizontal="left" vertical="center" wrapText="1"/>
    </xf>
    <xf numFmtId="0" fontId="45" fillId="0" borderId="25" xfId="0" applyFont="1" applyBorder="1"/>
    <xf numFmtId="0" fontId="108" fillId="2" borderId="25" xfId="0" applyFont="1" applyFill="1" applyBorder="1" applyAlignment="1">
      <alignment vertical="top"/>
    </xf>
    <xf numFmtId="0" fontId="108" fillId="2" borderId="25" xfId="0" applyFont="1" applyFill="1" applyBorder="1" applyAlignment="1">
      <alignment horizontal="center"/>
    </xf>
    <xf numFmtId="0" fontId="45" fillId="2" borderId="6" xfId="0" applyFont="1" applyFill="1" applyBorder="1" applyAlignment="1">
      <alignment vertical="center"/>
    </xf>
    <xf numFmtId="1" fontId="45" fillId="2" borderId="6" xfId="0" applyNumberFormat="1" applyFont="1" applyFill="1" applyBorder="1" applyAlignment="1">
      <alignment vertical="center" wrapText="1"/>
    </xf>
    <xf numFmtId="0" fontId="45" fillId="2" borderId="6" xfId="0" applyFont="1" applyFill="1" applyBorder="1" applyAlignment="1">
      <alignment horizontal="right" vertical="center"/>
    </xf>
    <xf numFmtId="3" fontId="45" fillId="2" borderId="6" xfId="0" applyNumberFormat="1" applyFont="1" applyFill="1" applyBorder="1" applyAlignment="1">
      <alignment horizontal="right" vertical="center"/>
    </xf>
    <xf numFmtId="164" fontId="45" fillId="2" borderId="6" xfId="1" applyNumberFormat="1" applyFont="1" applyFill="1" applyBorder="1" applyAlignment="1">
      <alignment horizontal="right" vertical="center"/>
    </xf>
    <xf numFmtId="0" fontId="108" fillId="2" borderId="6" xfId="0" applyFont="1" applyFill="1" applyBorder="1" applyAlignment="1">
      <alignment vertical="center" wrapText="1"/>
    </xf>
    <xf numFmtId="0" fontId="108" fillId="2" borderId="30" xfId="0" applyFont="1" applyFill="1" applyBorder="1" applyAlignment="1">
      <alignment vertical="top" wrapText="1"/>
    </xf>
    <xf numFmtId="0" fontId="128" fillId="0" borderId="30" xfId="0" applyFont="1" applyBorder="1"/>
    <xf numFmtId="0" fontId="108" fillId="2" borderId="25" xfId="0" applyFont="1" applyFill="1" applyBorder="1" applyAlignment="1">
      <alignment horizontal="center" vertical="center" wrapText="1"/>
    </xf>
    <xf numFmtId="164" fontId="45" fillId="2" borderId="0" xfId="0" applyNumberFormat="1" applyFont="1" applyFill="1" applyAlignment="1">
      <alignment vertical="center"/>
    </xf>
    <xf numFmtId="0" fontId="45" fillId="2" borderId="25" xfId="0" applyFont="1" applyFill="1" applyBorder="1" applyAlignment="1">
      <alignment vertical="center"/>
    </xf>
    <xf numFmtId="0" fontId="108" fillId="2" borderId="0" xfId="0" applyFont="1" applyFill="1" applyAlignment="1">
      <alignment horizontal="right" textRotation="90" wrapText="1"/>
    </xf>
    <xf numFmtId="0" fontId="108" fillId="2" borderId="25" xfId="2" applyFont="1" applyFill="1" applyBorder="1" applyAlignment="1">
      <alignment horizontal="center" textRotation="90" wrapText="1"/>
    </xf>
    <xf numFmtId="0" fontId="106" fillId="0" borderId="0" xfId="2" quotePrefix="1" applyFont="1" applyAlignment="1">
      <alignment horizontal="left"/>
    </xf>
    <xf numFmtId="0" fontId="106" fillId="0" borderId="0" xfId="2" applyFont="1" applyAlignment="1">
      <alignment horizontal="left"/>
    </xf>
    <xf numFmtId="0" fontId="136" fillId="0" borderId="0" xfId="2" applyFont="1"/>
    <xf numFmtId="0" fontId="115" fillId="0" borderId="0" xfId="2" applyFont="1" applyAlignment="1">
      <alignment wrapText="1"/>
    </xf>
    <xf numFmtId="165" fontId="115" fillId="0" borderId="0" xfId="2" applyNumberFormat="1" applyFont="1"/>
    <xf numFmtId="0" fontId="108" fillId="2" borderId="0" xfId="0" applyFont="1" applyFill="1" applyAlignment="1">
      <alignment horizontal="left" vertical="top" wrapText="1"/>
    </xf>
    <xf numFmtId="165" fontId="45" fillId="2" borderId="31" xfId="20" applyNumberFormat="1" applyFont="1" applyFill="1" applyBorder="1" applyAlignment="1">
      <alignment horizontal="right" vertical="center"/>
    </xf>
    <xf numFmtId="0" fontId="115" fillId="0" borderId="0" xfId="2" applyFont="1"/>
    <xf numFmtId="165" fontId="45" fillId="2" borderId="26" xfId="20" applyNumberFormat="1" applyFont="1" applyFill="1" applyBorder="1" applyAlignment="1">
      <alignment horizontal="right" vertical="center"/>
    </xf>
    <xf numFmtId="165" fontId="121" fillId="0" borderId="0" xfId="0" applyNumberFormat="1" applyFont="1"/>
    <xf numFmtId="183" fontId="45" fillId="0" borderId="0" xfId="2" applyNumberFormat="1" applyFont="1"/>
    <xf numFmtId="165" fontId="45" fillId="2" borderId="32" xfId="20" applyNumberFormat="1" applyFont="1" applyFill="1" applyBorder="1" applyAlignment="1">
      <alignment horizontal="right" vertical="center"/>
    </xf>
    <xf numFmtId="165" fontId="45" fillId="2" borderId="34" xfId="20" applyNumberFormat="1" applyFont="1" applyFill="1" applyBorder="1" applyAlignment="1">
      <alignment horizontal="right" vertical="center"/>
    </xf>
    <xf numFmtId="4" fontId="45" fillId="0" borderId="0" xfId="1" applyNumberFormat="1" applyFont="1" applyFill="1" applyBorder="1"/>
    <xf numFmtId="0" fontId="45" fillId="0" borderId="26" xfId="0" applyFont="1" applyBorder="1" applyAlignment="1">
      <alignment horizontal="left" vertical="center"/>
    </xf>
    <xf numFmtId="0" fontId="9" fillId="0" borderId="30" xfId="0" applyFont="1" applyBorder="1"/>
    <xf numFmtId="0" fontId="9" fillId="0" borderId="33" xfId="0" applyFont="1" applyBorder="1"/>
    <xf numFmtId="165" fontId="45" fillId="2" borderId="25" xfId="20" applyNumberFormat="1" applyFont="1" applyFill="1" applyBorder="1" applyAlignment="1">
      <alignment horizontal="right" vertical="center"/>
    </xf>
    <xf numFmtId="165" fontId="45" fillId="2" borderId="6" xfId="20" applyNumberFormat="1" applyFont="1" applyFill="1" applyBorder="1" applyAlignment="1">
      <alignment horizontal="right" vertical="center"/>
    </xf>
    <xf numFmtId="0" fontId="102" fillId="0" borderId="0" xfId="0" applyFont="1" applyAlignment="1">
      <alignment vertical="top" wrapText="1"/>
    </xf>
    <xf numFmtId="165" fontId="109" fillId="2" borderId="30" xfId="2" applyNumberFormat="1" applyFont="1" applyFill="1" applyBorder="1" applyAlignment="1">
      <alignment horizontal="right" vertical="center"/>
    </xf>
    <xf numFmtId="165" fontId="109" fillId="2" borderId="0" xfId="2" applyNumberFormat="1" applyFont="1" applyFill="1" applyAlignment="1">
      <alignment horizontal="right" vertical="center"/>
    </xf>
    <xf numFmtId="165" fontId="109" fillId="2" borderId="33" xfId="2" applyNumberFormat="1" applyFont="1" applyFill="1" applyBorder="1" applyAlignment="1">
      <alignment horizontal="right" vertical="center"/>
    </xf>
    <xf numFmtId="165" fontId="109" fillId="2" borderId="29" xfId="2" applyNumberFormat="1" applyFont="1" applyFill="1" applyBorder="1" applyAlignment="1">
      <alignment horizontal="right" vertical="center"/>
    </xf>
    <xf numFmtId="165" fontId="109" fillId="2" borderId="25" xfId="2" applyNumberFormat="1" applyFont="1" applyFill="1" applyBorder="1" applyAlignment="1">
      <alignment horizontal="right" vertical="center"/>
    </xf>
    <xf numFmtId="165" fontId="109" fillId="2" borderId="32" xfId="2" applyNumberFormat="1" applyFont="1" applyFill="1" applyBorder="1" applyAlignment="1">
      <alignment horizontal="right" vertical="center"/>
    </xf>
    <xf numFmtId="165" fontId="109" fillId="2" borderId="27" xfId="2" applyNumberFormat="1" applyFont="1" applyFill="1" applyBorder="1" applyAlignment="1">
      <alignment horizontal="right" vertical="center"/>
    </xf>
    <xf numFmtId="165" fontId="109" fillId="2" borderId="2" xfId="2" applyNumberFormat="1" applyFont="1" applyFill="1" applyBorder="1" applyAlignment="1">
      <alignment horizontal="right" vertical="center"/>
    </xf>
    <xf numFmtId="165" fontId="109" fillId="2" borderId="34" xfId="2" applyNumberFormat="1" applyFont="1" applyFill="1" applyBorder="1" applyAlignment="1">
      <alignment horizontal="right" vertical="center"/>
    </xf>
    <xf numFmtId="165" fontId="109" fillId="2" borderId="30" xfId="20" applyNumberFormat="1" applyFont="1" applyFill="1" applyBorder="1" applyAlignment="1">
      <alignment horizontal="right" vertical="center"/>
    </xf>
    <xf numFmtId="165" fontId="109" fillId="2" borderId="0" xfId="20" applyNumberFormat="1" applyFont="1" applyFill="1" applyAlignment="1">
      <alignment horizontal="right" vertical="center"/>
    </xf>
    <xf numFmtId="164" fontId="109" fillId="2" borderId="0" xfId="1" applyNumberFormat="1" applyFont="1" applyFill="1" applyBorder="1" applyAlignment="1">
      <alignment vertical="center"/>
    </xf>
    <xf numFmtId="165" fontId="109" fillId="2" borderId="29" xfId="20" applyNumberFormat="1" applyFont="1" applyFill="1" applyBorder="1" applyAlignment="1">
      <alignment horizontal="right" vertical="center"/>
    </xf>
    <xf numFmtId="165" fontId="109" fillId="2" borderId="25" xfId="20" applyNumberFormat="1" applyFont="1" applyFill="1" applyBorder="1" applyAlignment="1">
      <alignment horizontal="right" vertical="center"/>
    </xf>
    <xf numFmtId="164" fontId="109" fillId="2" borderId="25" xfId="1" applyNumberFormat="1" applyFont="1" applyFill="1" applyBorder="1" applyAlignment="1">
      <alignment vertical="center"/>
    </xf>
    <xf numFmtId="165" fontId="109" fillId="2" borderId="27" xfId="20" applyNumberFormat="1" applyFont="1" applyFill="1" applyBorder="1" applyAlignment="1">
      <alignment horizontal="right" vertical="center"/>
    </xf>
    <xf numFmtId="165" fontId="109" fillId="2" borderId="6" xfId="20" applyNumberFormat="1" applyFont="1" applyFill="1" applyBorder="1" applyAlignment="1">
      <alignment horizontal="right" vertical="center"/>
    </xf>
    <xf numFmtId="164" fontId="109" fillId="2" borderId="6" xfId="1" applyNumberFormat="1" applyFont="1" applyFill="1" applyBorder="1" applyAlignment="1">
      <alignment vertical="center"/>
    </xf>
    <xf numFmtId="165" fontId="109" fillId="2" borderId="33" xfId="20" applyNumberFormat="1" applyFont="1" applyFill="1" applyBorder="1" applyAlignment="1">
      <alignment horizontal="right" vertical="center"/>
    </xf>
    <xf numFmtId="165" fontId="109" fillId="2" borderId="32" xfId="20" applyNumberFormat="1" applyFont="1" applyFill="1" applyBorder="1" applyAlignment="1">
      <alignment horizontal="right" vertical="center"/>
    </xf>
    <xf numFmtId="165" fontId="109" fillId="2" borderId="34" xfId="20" applyNumberFormat="1" applyFont="1" applyFill="1" applyBorder="1" applyAlignment="1">
      <alignment horizontal="right" vertical="center"/>
    </xf>
    <xf numFmtId="3" fontId="109" fillId="2" borderId="30" xfId="2" applyNumberFormat="1" applyFont="1" applyFill="1" applyBorder="1" applyAlignment="1">
      <alignment horizontal="right" vertical="center"/>
    </xf>
    <xf numFmtId="3" fontId="109" fillId="2" borderId="0" xfId="2" applyNumberFormat="1" applyFont="1" applyFill="1" applyAlignment="1">
      <alignment horizontal="right" vertical="center"/>
    </xf>
    <xf numFmtId="3" fontId="109" fillId="2" borderId="33" xfId="2" applyNumberFormat="1" applyFont="1" applyFill="1" applyBorder="1" applyAlignment="1">
      <alignment horizontal="right" vertical="center"/>
    </xf>
    <xf numFmtId="3" fontId="109" fillId="2" borderId="29" xfId="2" applyNumberFormat="1" applyFont="1" applyFill="1" applyBorder="1" applyAlignment="1">
      <alignment horizontal="right" vertical="center"/>
    </xf>
    <xf numFmtId="3" fontId="109" fillId="2" borderId="25" xfId="2" applyNumberFormat="1" applyFont="1" applyFill="1" applyBorder="1" applyAlignment="1">
      <alignment horizontal="right" vertical="center"/>
    </xf>
    <xf numFmtId="3" fontId="109" fillId="2" borderId="32" xfId="2" applyNumberFormat="1" applyFont="1" applyFill="1" applyBorder="1" applyAlignment="1">
      <alignment horizontal="right" vertical="center"/>
    </xf>
    <xf numFmtId="3" fontId="109" fillId="2" borderId="27" xfId="2" applyNumberFormat="1" applyFont="1" applyFill="1" applyBorder="1" applyAlignment="1">
      <alignment horizontal="right" vertical="center"/>
    </xf>
    <xf numFmtId="3" fontId="109" fillId="2" borderId="6" xfId="2" applyNumberFormat="1" applyFont="1" applyFill="1" applyBorder="1" applyAlignment="1">
      <alignment horizontal="right" vertical="center"/>
    </xf>
    <xf numFmtId="3" fontId="109" fillId="2" borderId="34" xfId="2" applyNumberFormat="1" applyFont="1" applyFill="1" applyBorder="1" applyAlignment="1">
      <alignment horizontal="right" vertical="center"/>
    </xf>
    <xf numFmtId="165" fontId="123" fillId="0" borderId="0" xfId="0" applyNumberFormat="1" applyFont="1"/>
    <xf numFmtId="3" fontId="45" fillId="0" borderId="31" xfId="0" applyNumberFormat="1" applyFont="1" applyBorder="1" applyAlignment="1">
      <alignment horizontal="right"/>
    </xf>
    <xf numFmtId="165" fontId="45" fillId="0" borderId="33" xfId="0" applyNumberFormat="1" applyFont="1" applyBorder="1" applyAlignment="1">
      <alignment horizontal="right"/>
    </xf>
    <xf numFmtId="165" fontId="45" fillId="0" borderId="32" xfId="0" applyNumberFormat="1" applyFont="1" applyBorder="1" applyAlignment="1">
      <alignment horizontal="right"/>
    </xf>
    <xf numFmtId="3" fontId="45" fillId="0" borderId="26" xfId="0" applyNumberFormat="1" applyFont="1" applyBorder="1" applyAlignment="1">
      <alignment horizontal="right"/>
    </xf>
    <xf numFmtId="165" fontId="45" fillId="0" borderId="0" xfId="0" applyNumberFormat="1" applyFont="1" applyAlignment="1">
      <alignment horizontal="right"/>
    </xf>
    <xf numFmtId="165" fontId="45" fillId="0" borderId="25" xfId="0" applyNumberFormat="1" applyFont="1" applyBorder="1" applyAlignment="1">
      <alignment horizontal="right"/>
    </xf>
    <xf numFmtId="0" fontId="96" fillId="0" borderId="0" xfId="0" applyFont="1" applyAlignment="1">
      <alignment horizontal="justify" vertical="top" wrapText="1"/>
    </xf>
    <xf numFmtId="0" fontId="91" fillId="0" borderId="0" xfId="0" applyFont="1" applyAlignment="1">
      <alignment horizontal="right"/>
    </xf>
    <xf numFmtId="0" fontId="106" fillId="2" borderId="25" xfId="2" applyFont="1" applyFill="1" applyBorder="1" applyAlignment="1">
      <alignment horizontal="left" wrapText="1"/>
    </xf>
    <xf numFmtId="0" fontId="54" fillId="2" borderId="0" xfId="2" applyFont="1" applyFill="1" applyAlignment="1">
      <alignment horizontal="justify" vertical="top" wrapText="1"/>
    </xf>
    <xf numFmtId="0" fontId="54" fillId="2" borderId="0" xfId="2" applyFont="1" applyFill="1" applyAlignment="1">
      <alignment horizontal="justify" wrapText="1"/>
    </xf>
    <xf numFmtId="3" fontId="91" fillId="0" borderId="0" xfId="2" applyNumberFormat="1" applyFont="1" applyAlignment="1">
      <alignment horizontal="center"/>
    </xf>
    <xf numFmtId="0" fontId="106" fillId="0" borderId="25" xfId="2" applyFont="1" applyBorder="1" applyAlignment="1">
      <alignment horizontal="left"/>
    </xf>
    <xf numFmtId="0" fontId="106" fillId="0" borderId="0" xfId="2" applyFont="1" applyAlignment="1">
      <alignment horizontal="left"/>
    </xf>
    <xf numFmtId="0" fontId="102" fillId="0" borderId="0" xfId="0" applyFont="1" applyAlignment="1">
      <alignment horizontal="justify" vertical="top" wrapText="1"/>
    </xf>
    <xf numFmtId="0" fontId="136" fillId="0" borderId="0" xfId="0" applyFont="1" applyAlignment="1">
      <alignment horizontal="left"/>
    </xf>
    <xf numFmtId="1" fontId="92" fillId="0" borderId="0" xfId="0" applyNumberFormat="1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108" fillId="2" borderId="28" xfId="0" applyFont="1" applyFill="1" applyBorder="1" applyAlignment="1">
      <alignment horizontal="left" vertical="center"/>
    </xf>
    <xf numFmtId="0" fontId="108" fillId="2" borderId="26" xfId="0" applyFont="1" applyFill="1" applyBorder="1" applyAlignment="1">
      <alignment horizontal="left" vertical="center"/>
    </xf>
    <xf numFmtId="0" fontId="108" fillId="2" borderId="31" xfId="0" applyFont="1" applyFill="1" applyBorder="1" applyAlignment="1">
      <alignment horizontal="left" vertical="center"/>
    </xf>
    <xf numFmtId="0" fontId="45" fillId="2" borderId="0" xfId="0" applyFont="1" applyFill="1" applyAlignment="1">
      <alignment horizontal="left" vertical="top"/>
    </xf>
    <xf numFmtId="0" fontId="45" fillId="2" borderId="25" xfId="0" applyFont="1" applyFill="1" applyBorder="1" applyAlignment="1">
      <alignment horizontal="left" vertical="top"/>
    </xf>
    <xf numFmtId="0" fontId="45" fillId="2" borderId="26" xfId="0" applyFont="1" applyFill="1" applyBorder="1" applyAlignment="1">
      <alignment horizontal="left" vertical="top"/>
    </xf>
    <xf numFmtId="0" fontId="45" fillId="2" borderId="0" xfId="0" applyFont="1" applyFill="1" applyAlignment="1">
      <alignment horizontal="left" vertical="top" wrapText="1"/>
    </xf>
    <xf numFmtId="0" fontId="108" fillId="2" borderId="0" xfId="0" applyFont="1" applyFill="1" applyAlignment="1">
      <alignment horizontal="center" vertical="center" textRotation="90" wrapText="1"/>
    </xf>
    <xf numFmtId="0" fontId="108" fillId="2" borderId="25" xfId="0" applyFont="1" applyFill="1" applyBorder="1" applyAlignment="1">
      <alignment horizontal="center" vertical="center" textRotation="90" wrapText="1"/>
    </xf>
    <xf numFmtId="0" fontId="108" fillId="2" borderId="26" xfId="0" applyFont="1" applyFill="1" applyBorder="1" applyAlignment="1">
      <alignment horizontal="center" vertical="center" textRotation="90" wrapText="1"/>
    </xf>
    <xf numFmtId="0" fontId="45" fillId="2" borderId="25" xfId="0" applyFont="1" applyFill="1" applyBorder="1" applyAlignment="1">
      <alignment horizontal="left" vertical="center"/>
    </xf>
    <xf numFmtId="0" fontId="45" fillId="2" borderId="25" xfId="0" applyFont="1" applyFill="1" applyBorder="1" applyAlignment="1">
      <alignment horizontal="left" vertical="top" wrapText="1"/>
    </xf>
    <xf numFmtId="0" fontId="45" fillId="2" borderId="26" xfId="0" applyFont="1" applyFill="1" applyBorder="1" applyAlignment="1">
      <alignment horizontal="left" vertical="top" wrapText="1"/>
    </xf>
    <xf numFmtId="0" fontId="45" fillId="2" borderId="6" xfId="0" applyFont="1" applyFill="1" applyBorder="1" applyAlignment="1">
      <alignment horizontal="left" vertical="center" wrapText="1"/>
    </xf>
    <xf numFmtId="0" fontId="108" fillId="2" borderId="27" xfId="2" applyFont="1" applyFill="1" applyBorder="1" applyAlignment="1">
      <alignment horizontal="left" vertical="top" wrapText="1"/>
    </xf>
    <xf numFmtId="0" fontId="108" fillId="2" borderId="6" xfId="2" applyFont="1" applyFill="1" applyBorder="1" applyAlignment="1">
      <alignment horizontal="left" vertical="top" wrapText="1"/>
    </xf>
    <xf numFmtId="0" fontId="104" fillId="0" borderId="0" xfId="2" applyFont="1" applyAlignment="1">
      <alignment horizontal="left" wrapText="1"/>
    </xf>
    <xf numFmtId="1" fontId="92" fillId="0" borderId="0" xfId="2" applyNumberFormat="1" applyFont="1" applyAlignment="1">
      <alignment horizontal="center" vertical="center" wrapText="1"/>
    </xf>
    <xf numFmtId="0" fontId="92" fillId="0" borderId="0" xfId="2" applyFont="1" applyAlignment="1">
      <alignment horizontal="center" vertical="center" wrapText="1"/>
    </xf>
    <xf numFmtId="0" fontId="136" fillId="0" borderId="0" xfId="2" applyFont="1" applyAlignment="1">
      <alignment horizontal="left"/>
    </xf>
    <xf numFmtId="0" fontId="108" fillId="2" borderId="34" xfId="2" applyFont="1" applyFill="1" applyBorder="1" applyAlignment="1">
      <alignment horizontal="left" vertical="top" wrapText="1"/>
    </xf>
    <xf numFmtId="0" fontId="108" fillId="2" borderId="0" xfId="2" applyFont="1" applyFill="1" applyAlignment="1">
      <alignment horizontal="left" vertical="top" wrapText="1"/>
    </xf>
    <xf numFmtId="0" fontId="108" fillId="2" borderId="25" xfId="2" applyFont="1" applyFill="1" applyBorder="1" applyAlignment="1">
      <alignment horizontal="left" vertical="top" wrapText="1"/>
    </xf>
    <xf numFmtId="0" fontId="108" fillId="2" borderId="33" xfId="2" applyFont="1" applyFill="1" applyBorder="1" applyAlignment="1">
      <alignment horizontal="left" vertical="top" wrapText="1"/>
    </xf>
    <xf numFmtId="0" fontId="108" fillId="2" borderId="32" xfId="2" applyFont="1" applyFill="1" applyBorder="1" applyAlignment="1">
      <alignment horizontal="left" vertical="top" wrapText="1"/>
    </xf>
    <xf numFmtId="0" fontId="108" fillId="2" borderId="27" xfId="2" applyFont="1" applyFill="1" applyBorder="1" applyAlignment="1">
      <alignment horizontal="left" vertical="center" wrapText="1"/>
    </xf>
    <xf numFmtId="0" fontId="108" fillId="2" borderId="2" xfId="2" applyFont="1" applyFill="1" applyBorder="1" applyAlignment="1">
      <alignment horizontal="left" vertical="center" wrapText="1"/>
    </xf>
    <xf numFmtId="0" fontId="108" fillId="2" borderId="34" xfId="2" applyFont="1" applyFill="1" applyBorder="1" applyAlignment="1">
      <alignment horizontal="left" vertical="center" wrapText="1"/>
    </xf>
    <xf numFmtId="0" fontId="104" fillId="0" borderId="0" xfId="2" applyFont="1" applyAlignment="1">
      <alignment horizontal="left"/>
    </xf>
    <xf numFmtId="0" fontId="116" fillId="0" borderId="0" xfId="2" applyFont="1" applyAlignment="1">
      <alignment horizontal="right" vertical="center" wrapText="1"/>
    </xf>
    <xf numFmtId="0" fontId="108" fillId="2" borderId="29" xfId="2" applyFont="1" applyFill="1" applyBorder="1" applyAlignment="1">
      <alignment horizontal="left" vertical="top" wrapText="1"/>
    </xf>
    <xf numFmtId="0" fontId="108" fillId="2" borderId="6" xfId="2" applyFont="1" applyFill="1" applyBorder="1" applyAlignment="1">
      <alignment horizontal="left" vertical="center" wrapText="1"/>
    </xf>
    <xf numFmtId="1" fontId="45" fillId="0" borderId="0" xfId="2" applyNumberFormat="1" applyFont="1" applyAlignment="1">
      <alignment horizontal="center" vertical="center"/>
    </xf>
    <xf numFmtId="1" fontId="92" fillId="0" borderId="25" xfId="2" applyNumberFormat="1" applyFont="1" applyBorder="1" applyAlignment="1">
      <alignment horizontal="center" wrapText="1"/>
    </xf>
    <xf numFmtId="0" fontId="92" fillId="0" borderId="25" xfId="2" applyFont="1" applyBorder="1" applyAlignment="1">
      <alignment horizontal="center" wrapText="1"/>
    </xf>
    <xf numFmtId="1" fontId="108" fillId="2" borderId="26" xfId="2" applyNumberFormat="1" applyFont="1" applyFill="1" applyBorder="1" applyAlignment="1">
      <alignment horizontal="right" wrapText="1"/>
    </xf>
    <xf numFmtId="1" fontId="108" fillId="2" borderId="25" xfId="2" applyNumberFormat="1" applyFont="1" applyFill="1" applyBorder="1" applyAlignment="1">
      <alignment horizontal="right" wrapText="1"/>
    </xf>
    <xf numFmtId="0" fontId="126" fillId="0" borderId="28" xfId="0" applyFont="1" applyBorder="1" applyAlignment="1">
      <alignment horizontal="left"/>
    </xf>
    <xf numFmtId="0" fontId="126" fillId="0" borderId="26" xfId="0" applyFont="1" applyBorder="1" applyAlignment="1">
      <alignment horizontal="left"/>
    </xf>
    <xf numFmtId="0" fontId="126" fillId="0" borderId="31" xfId="0" applyFont="1" applyBorder="1" applyAlignment="1">
      <alignment horizontal="left"/>
    </xf>
    <xf numFmtId="0" fontId="136" fillId="0" borderId="0" xfId="0" applyFont="1" applyAlignment="1">
      <alignment horizontal="left" vertical="center" wrapText="1"/>
    </xf>
    <xf numFmtId="0" fontId="108" fillId="2" borderId="6" xfId="0" applyFont="1" applyFill="1" applyBorder="1" applyAlignment="1">
      <alignment horizontal="left" vertical="center"/>
    </xf>
    <xf numFmtId="0" fontId="108" fillId="2" borderId="27" xfId="0" applyFont="1" applyFill="1" applyBorder="1" applyAlignment="1">
      <alignment horizontal="left" vertical="center"/>
    </xf>
    <xf numFmtId="0" fontId="108" fillId="2" borderId="34" xfId="0" applyFont="1" applyFill="1" applyBorder="1" applyAlignment="1">
      <alignment horizontal="left" vertical="center"/>
    </xf>
    <xf numFmtId="0" fontId="108" fillId="2" borderId="29" xfId="0" applyFont="1" applyFill="1" applyBorder="1" applyAlignment="1">
      <alignment horizontal="right" wrapText="1"/>
    </xf>
    <xf numFmtId="0" fontId="108" fillId="2" borderId="25" xfId="0" applyFont="1" applyFill="1" applyBorder="1" applyAlignment="1">
      <alignment horizontal="right" wrapText="1"/>
    </xf>
    <xf numFmtId="1" fontId="111" fillId="0" borderId="25" xfId="0" applyNumberFormat="1" applyFont="1" applyBorder="1" applyAlignment="1">
      <alignment horizontal="left" vertical="center"/>
    </xf>
    <xf numFmtId="0" fontId="108" fillId="2" borderId="30" xfId="0" applyFont="1" applyFill="1" applyBorder="1" applyAlignment="1">
      <alignment horizontal="left" vertical="top" wrapText="1"/>
    </xf>
    <xf numFmtId="0" fontId="108" fillId="2" borderId="0" xfId="0" applyFont="1" applyFill="1" applyAlignment="1">
      <alignment horizontal="left" vertical="top" wrapText="1"/>
    </xf>
    <xf numFmtId="0" fontId="108" fillId="2" borderId="0" xfId="0" applyFont="1" applyFill="1" applyAlignment="1">
      <alignment horizontal="center" vertical="top" wrapText="1"/>
    </xf>
    <xf numFmtId="0" fontId="108" fillId="2" borderId="0" xfId="0" applyFont="1" applyFill="1" applyAlignment="1">
      <alignment horizontal="right" wrapText="1"/>
    </xf>
    <xf numFmtId="1" fontId="108" fillId="2" borderId="28" xfId="0" applyNumberFormat="1" applyFont="1" applyFill="1" applyBorder="1" applyAlignment="1">
      <alignment horizontal="left" vertical="top"/>
    </xf>
    <xf numFmtId="1" fontId="108" fillId="2" borderId="26" xfId="0" applyNumberFormat="1" applyFont="1" applyFill="1" applyBorder="1" applyAlignment="1">
      <alignment horizontal="left" vertical="top"/>
    </xf>
    <xf numFmtId="1" fontId="108" fillId="2" borderId="29" xfId="0" applyNumberFormat="1" applyFont="1" applyFill="1" applyBorder="1" applyAlignment="1">
      <alignment horizontal="left" vertical="top"/>
    </xf>
    <xf numFmtId="1" fontId="108" fillId="2" borderId="25" xfId="0" applyNumberFormat="1" applyFont="1" applyFill="1" applyBorder="1" applyAlignment="1">
      <alignment horizontal="left" vertical="top"/>
    </xf>
    <xf numFmtId="0" fontId="108" fillId="2" borderId="28" xfId="0" applyFont="1" applyFill="1" applyBorder="1" applyAlignment="1">
      <alignment horizontal="left" vertical="top" wrapText="1"/>
    </xf>
    <xf numFmtId="0" fontId="108" fillId="2" borderId="29" xfId="0" applyFont="1" applyFill="1" applyBorder="1" applyAlignment="1">
      <alignment horizontal="left" vertical="top" wrapText="1"/>
    </xf>
    <xf numFmtId="0" fontId="108" fillId="2" borderId="26" xfId="0" applyFont="1" applyFill="1" applyBorder="1" applyAlignment="1">
      <alignment horizontal="left" vertical="top" wrapText="1"/>
    </xf>
    <xf numFmtId="0" fontId="108" fillId="2" borderId="25" xfId="0" applyFont="1" applyFill="1" applyBorder="1" applyAlignment="1">
      <alignment horizontal="left" vertical="top" wrapText="1"/>
    </xf>
    <xf numFmtId="0" fontId="104" fillId="0" borderId="0" xfId="0" applyFont="1" applyAlignment="1">
      <alignment horizontal="left"/>
    </xf>
    <xf numFmtId="1" fontId="104" fillId="0" borderId="0" xfId="0" applyNumberFormat="1" applyFont="1" applyAlignment="1">
      <alignment horizontal="left" vertical="top"/>
    </xf>
    <xf numFmtId="0" fontId="104" fillId="0" borderId="0" xfId="0" applyFont="1" applyAlignment="1">
      <alignment horizontal="left" vertical="top"/>
    </xf>
    <xf numFmtId="0" fontId="104" fillId="0" borderId="0" xfId="0" applyFont="1" applyAlignment="1">
      <alignment horizontal="left" vertical="center"/>
    </xf>
    <xf numFmtId="0" fontId="45" fillId="2" borderId="26" xfId="0" applyFont="1" applyFill="1" applyBorder="1" applyAlignment="1">
      <alignment vertical="top" wrapText="1"/>
    </xf>
    <xf numFmtId="0" fontId="45" fillId="2" borderId="0" xfId="0" applyFont="1" applyFill="1" applyAlignment="1">
      <alignment vertical="top" wrapText="1"/>
    </xf>
    <xf numFmtId="0" fontId="45" fillId="2" borderId="25" xfId="0" applyFont="1" applyFill="1" applyBorder="1" applyAlignment="1">
      <alignment vertical="top" wrapText="1"/>
    </xf>
    <xf numFmtId="1" fontId="45" fillId="2" borderId="26" xfId="0" applyNumberFormat="1" applyFont="1" applyFill="1" applyBorder="1" applyAlignment="1">
      <alignment vertical="top" wrapText="1"/>
    </xf>
    <xf numFmtId="0" fontId="104" fillId="0" borderId="0" xfId="0" applyFont="1" applyAlignment="1">
      <alignment horizontal="left" wrapText="1"/>
    </xf>
    <xf numFmtId="0" fontId="108" fillId="2" borderId="31" xfId="0" applyFont="1" applyFill="1" applyBorder="1" applyAlignment="1">
      <alignment horizontal="left" vertical="top" wrapText="1"/>
    </xf>
    <xf numFmtId="0" fontId="108" fillId="2" borderId="32" xfId="0" applyFont="1" applyFill="1" applyBorder="1" applyAlignment="1">
      <alignment horizontal="left" vertical="top" wrapText="1"/>
    </xf>
    <xf numFmtId="1" fontId="45" fillId="2" borderId="26" xfId="0" applyNumberFormat="1" applyFont="1" applyFill="1" applyBorder="1" applyAlignment="1">
      <alignment horizontal="left" vertical="top" wrapText="1"/>
    </xf>
    <xf numFmtId="1" fontId="45" fillId="2" borderId="0" xfId="0" applyNumberFormat="1" applyFont="1" applyFill="1" applyAlignment="1">
      <alignment horizontal="left" vertical="top" wrapText="1"/>
    </xf>
    <xf numFmtId="1" fontId="45" fillId="2" borderId="25" xfId="0" applyNumberFormat="1" applyFont="1" applyFill="1" applyBorder="1" applyAlignment="1">
      <alignment horizontal="left" vertical="top" wrapText="1"/>
    </xf>
    <xf numFmtId="0" fontId="45" fillId="0" borderId="0" xfId="0" applyFont="1" applyAlignment="1">
      <alignment horizontal="justify" vertical="top" wrapText="1"/>
    </xf>
    <xf numFmtId="0" fontId="45" fillId="0" borderId="0" xfId="0" applyFont="1" applyAlignment="1">
      <alignment horizontal="left" vertical="top" wrapText="1"/>
    </xf>
    <xf numFmtId="0" fontId="104" fillId="0" borderId="0" xfId="0" applyFont="1" applyAlignment="1">
      <alignment horizontal="center" vertical="top"/>
    </xf>
    <xf numFmtId="0" fontId="104" fillId="0" borderId="0" xfId="0" applyFont="1" applyAlignment="1">
      <alignment horizontal="center" vertical="top" wrapText="1"/>
    </xf>
    <xf numFmtId="0" fontId="45" fillId="0" borderId="0" xfId="0" applyFont="1" applyAlignment="1">
      <alignment horizontal="left" vertical="center"/>
    </xf>
    <xf numFmtId="0" fontId="104" fillId="0" borderId="0" xfId="0" applyFont="1" applyAlignment="1">
      <alignment horizontal="left" vertical="top" wrapText="1"/>
    </xf>
    <xf numFmtId="0" fontId="136" fillId="0" borderId="0" xfId="0" applyFont="1" applyAlignment="1">
      <alignment horizontal="left" wrapText="1"/>
    </xf>
    <xf numFmtId="0" fontId="108" fillId="2" borderId="27" xfId="0" applyFont="1" applyFill="1" applyBorder="1" applyAlignment="1">
      <alignment horizontal="left" vertical="center" wrapText="1"/>
    </xf>
    <xf numFmtId="0" fontId="108" fillId="2" borderId="6" xfId="0" applyFont="1" applyFill="1" applyBorder="1" applyAlignment="1">
      <alignment horizontal="left" vertical="center" wrapText="1"/>
    </xf>
    <xf numFmtId="0" fontId="108" fillId="2" borderId="34" xfId="0" applyFont="1" applyFill="1" applyBorder="1" applyAlignment="1">
      <alignment horizontal="left" vertical="center" wrapText="1"/>
    </xf>
    <xf numFmtId="0" fontId="111" fillId="0" borderId="0" xfId="0" applyFont="1" applyAlignment="1">
      <alignment horizontal="left" vertical="center"/>
    </xf>
    <xf numFmtId="0" fontId="108" fillId="2" borderId="33" xfId="0" applyFont="1" applyFill="1" applyBorder="1" applyAlignment="1">
      <alignment horizontal="right" wrapText="1"/>
    </xf>
    <xf numFmtId="0" fontId="108" fillId="2" borderId="32" xfId="0" applyFont="1" applyFill="1" applyBorder="1" applyAlignment="1">
      <alignment horizontal="right" wrapText="1"/>
    </xf>
    <xf numFmtId="0" fontId="106" fillId="2" borderId="25" xfId="0" applyFont="1" applyFill="1" applyBorder="1" applyAlignment="1">
      <alignment horizontal="left" vertical="center"/>
    </xf>
    <xf numFmtId="1" fontId="104" fillId="0" borderId="0" xfId="0" applyNumberFormat="1" applyFont="1" applyAlignment="1">
      <alignment horizontal="center" vertical="top" wrapText="1"/>
    </xf>
    <xf numFmtId="1" fontId="104" fillId="0" borderId="0" xfId="0" applyNumberFormat="1" applyFont="1" applyAlignment="1">
      <alignment horizontal="center" vertical="top"/>
    </xf>
    <xf numFmtId="0" fontId="108" fillId="2" borderId="26" xfId="0" applyFont="1" applyFill="1" applyBorder="1" applyAlignment="1">
      <alignment horizontal="right" wrapText="1"/>
    </xf>
    <xf numFmtId="0" fontId="108" fillId="2" borderId="31" xfId="0" applyFont="1" applyFill="1" applyBorder="1" applyAlignment="1">
      <alignment horizontal="right" wrapText="1"/>
    </xf>
    <xf numFmtId="0" fontId="104" fillId="0" borderId="0" xfId="0" applyFont="1" applyAlignment="1">
      <alignment horizontal="left" vertical="center" readingOrder="1"/>
    </xf>
    <xf numFmtId="1" fontId="111" fillId="0" borderId="0" xfId="2" applyNumberFormat="1" applyFont="1" applyAlignment="1">
      <alignment horizontal="left" vertical="top" wrapText="1"/>
    </xf>
    <xf numFmtId="0" fontId="111" fillId="0" borderId="0" xfId="2" applyFont="1" applyAlignment="1">
      <alignment horizontal="left" vertical="top" wrapText="1"/>
    </xf>
    <xf numFmtId="0" fontId="108" fillId="2" borderId="25" xfId="0" applyFont="1" applyFill="1" applyBorder="1" applyAlignment="1">
      <alignment horizontal="left" vertical="center" wrapText="1"/>
    </xf>
    <xf numFmtId="0" fontId="108" fillId="2" borderId="0" xfId="0" applyFont="1" applyFill="1" applyAlignment="1">
      <alignment horizontal="left" vertical="center"/>
    </xf>
    <xf numFmtId="1" fontId="111" fillId="0" borderId="0" xfId="0" applyNumberFormat="1" applyFont="1" applyAlignment="1">
      <alignment horizontal="left" vertical="center"/>
    </xf>
    <xf numFmtId="0" fontId="108" fillId="2" borderId="28" xfId="0" applyFont="1" applyFill="1" applyBorder="1" applyAlignment="1">
      <alignment horizontal="left" vertical="center" wrapText="1"/>
    </xf>
    <xf numFmtId="0" fontId="108" fillId="2" borderId="26" xfId="0" applyFont="1" applyFill="1" applyBorder="1" applyAlignment="1">
      <alignment horizontal="left" vertical="center" wrapText="1"/>
    </xf>
    <xf numFmtId="0" fontId="108" fillId="2" borderId="31" xfId="0" applyFont="1" applyFill="1" applyBorder="1" applyAlignment="1">
      <alignment horizontal="left" vertical="center" wrapText="1"/>
    </xf>
    <xf numFmtId="0" fontId="108" fillId="2" borderId="0" xfId="0" applyFont="1" applyFill="1" applyAlignment="1">
      <alignment horizontal="left" vertical="center" wrapText="1"/>
    </xf>
    <xf numFmtId="1" fontId="108" fillId="2" borderId="6" xfId="0" applyNumberFormat="1" applyFont="1" applyFill="1" applyBorder="1" applyAlignment="1">
      <alignment horizontal="left" vertical="center"/>
    </xf>
    <xf numFmtId="0" fontId="45" fillId="0" borderId="0" xfId="2" applyFont="1" applyAlignment="1">
      <alignment horizontal="left"/>
    </xf>
    <xf numFmtId="0" fontId="45" fillId="0" borderId="0" xfId="2" applyFont="1" applyAlignment="1">
      <alignment horizontal="left" vertical="top" wrapText="1"/>
    </xf>
    <xf numFmtId="0" fontId="129" fillId="0" borderId="0" xfId="1535" applyFont="1" applyAlignment="1">
      <alignment vertical="center" wrapText="1"/>
    </xf>
    <xf numFmtId="0" fontId="130" fillId="0" borderId="0" xfId="1535" applyFont="1" applyAlignment="1">
      <alignment vertical="center" wrapText="1"/>
    </xf>
    <xf numFmtId="0" fontId="138" fillId="0" borderId="0" xfId="1540" applyFont="1" applyAlignment="1">
      <alignment horizontal="left" wrapText="1"/>
    </xf>
    <xf numFmtId="0" fontId="139" fillId="0" borderId="0" xfId="1535" applyFont="1" applyAlignment="1">
      <alignment horizontal="left"/>
    </xf>
    <xf numFmtId="0" fontId="140" fillId="0" borderId="0" xfId="1535" applyFont="1" applyAlignment="1">
      <alignment horizontal="left" wrapText="1"/>
    </xf>
    <xf numFmtId="0" fontId="32" fillId="0" borderId="0" xfId="1535" applyFont="1"/>
    <xf numFmtId="49" fontId="32" fillId="0" borderId="0" xfId="1535" applyNumberFormat="1" applyFont="1" applyAlignment="1">
      <alignment vertical="center"/>
    </xf>
    <xf numFmtId="49" fontId="33" fillId="0" borderId="0" xfId="1535" applyNumberFormat="1" applyFont="1" applyAlignment="1">
      <alignment vertical="center"/>
    </xf>
  </cellXfs>
  <cellStyles count="1541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2 3" xfId="1539" xr:uid="{EC41200C-39F2-41F2-929E-0094D727D8BB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19 2 2" xfId="1540" xr:uid="{E433670D-0213-475B-8E8A-12BC5B56971B}"/>
    <cellStyle name="Normální 19 3" xfId="1538" xr:uid="{FC2DA9EE-F984-412E-A44C-5D4015995987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233060"/>
      <color rgb="FFF0948F"/>
      <color rgb="FF596387"/>
      <color rgb="FF9196B0"/>
      <color rgb="FFC7CCD6"/>
      <color rgb="FF79C1D5"/>
      <color rgb="FFCEF8FA"/>
      <color rgb="FF646363"/>
      <color rgb="FFDDFAF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'3.2'!$E$27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'3.2'!$E$28:$E$39</c:f>
              <c:numCache>
                <c:formatCode>#,##0.0</c:formatCode>
                <c:ptCount val="12"/>
                <c:pt idx="0">
                  <c:v>436.35123214677395</c:v>
                </c:pt>
                <c:pt idx="1">
                  <c:v>394.129496999087</c:v>
                </c:pt>
                <c:pt idx="2">
                  <c:v>659.66248813109496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'3.2'!$F$27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'3.2'!$D$28:$D$39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'3.2'!$F$28:$F$39</c:f>
              <c:numCache>
                <c:formatCode>#,##0.0</c:formatCode>
                <c:ptCount val="12"/>
                <c:pt idx="0">
                  <c:v>-203.199323278186</c:v>
                </c:pt>
                <c:pt idx="1">
                  <c:v>-170.106619433123</c:v>
                </c:pt>
                <c:pt idx="2">
                  <c:v>-75.543277111524006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54269184"/>
        <c:axId val="154270720"/>
      </c:barChart>
      <c:catAx>
        <c:axId val="15426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270720"/>
        <c:crosses val="autoZero"/>
        <c:auto val="1"/>
        <c:lblAlgn val="ctr"/>
        <c:lblOffset val="100"/>
        <c:noMultiLvlLbl val="0"/>
      </c:catAx>
      <c:valAx>
        <c:axId val="154270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269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369142748693663E-4"/>
          <c:y val="0.92056933894499138"/>
          <c:w val="0.19103510423252798"/>
          <c:h val="7.888618179064298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'4.3'!$H$45:$H$47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'4.3'!$I$45:$I$47</c:f>
              <c:numCache>
                <c:formatCode>#,##0</c:formatCode>
                <c:ptCount val="3"/>
                <c:pt idx="0">
                  <c:v>27938.887997536829</c:v>
                </c:pt>
                <c:pt idx="1">
                  <c:v>17757.780211402816</c:v>
                </c:pt>
                <c:pt idx="2">
                  <c:v>23258.248032194831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116544"/>
        <c:axId val="165122432"/>
      </c:barChart>
      <c:catAx>
        <c:axId val="16511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122432"/>
        <c:crosses val="autoZero"/>
        <c:auto val="1"/>
        <c:lblAlgn val="ctr"/>
        <c:lblOffset val="100"/>
        <c:noMultiLvlLbl val="0"/>
      </c:catAx>
      <c:valAx>
        <c:axId val="16512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16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2.0754852261096239E-2"/>
          <c:w val="0.49250688350604677"/>
          <c:h val="0.78653580802399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'5.1'!$B$43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'5.1'!$C$43:$D$43</c:f>
              <c:numCache>
                <c:formatCode>#,##0</c:formatCode>
                <c:ptCount val="2"/>
                <c:pt idx="0">
                  <c:v>1232704.1458701808</c:v>
                </c:pt>
                <c:pt idx="1">
                  <c:v>1044123.145869256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'5.1'!$B$44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924543.36114139215</c:v>
                </c:pt>
                <c:pt idx="1">
                  <c:v>961937.76684198377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'5.1'!$B$45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'5.1'!$C$42:$D$42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721005.68899804004</c:v>
                </c:pt>
                <c:pt idx="1">
                  <c:v>750995.43483566795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312768"/>
        <c:axId val="154272896"/>
      </c:barChart>
      <c:catAx>
        <c:axId val="16731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272896"/>
        <c:crosses val="autoZero"/>
        <c:auto val="1"/>
        <c:lblAlgn val="ctr"/>
        <c:lblOffset val="100"/>
        <c:noMultiLvlLbl val="0"/>
      </c:catAx>
      <c:valAx>
        <c:axId val="1542728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7312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2548508955760597E-3"/>
          <c:y val="0.92454477860696616"/>
          <c:w val="0.44402259795045007"/>
          <c:h val="6.59804024496937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2.3809532736982653E-2"/>
          <c:w val="0.77090245307366301"/>
          <c:h val="0.793063289487547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'5.1'!$H$43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'5.1'!$I$43:$J$43</c:f>
              <c:numCache>
                <c:formatCode>0.0%</c:formatCode>
                <c:ptCount val="2"/>
                <c:pt idx="0">
                  <c:v>0.42828203841802093</c:v>
                </c:pt>
                <c:pt idx="1">
                  <c:v>0.378709396635388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'5.1'!$H$44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0.32121682777011118</c:v>
                </c:pt>
                <c:pt idx="1">
                  <c:v>0.34890029276981172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'5.1'!$H$45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'5.1'!$I$42:$J$42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0.25050113381186767</c:v>
                </c:pt>
                <c:pt idx="1">
                  <c:v>0.27239031059480034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301952"/>
        <c:axId val="154303872"/>
      </c:barChart>
      <c:catAx>
        <c:axId val="154301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03872"/>
        <c:crosses val="autoZero"/>
        <c:auto val="1"/>
        <c:lblAlgn val="ctr"/>
        <c:lblOffset val="100"/>
        <c:noMultiLvlLbl val="0"/>
      </c:catAx>
      <c:valAx>
        <c:axId val="154303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43019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67370427638671238"/>
          <c:h val="6.53271537736038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'5.2'!$C$42:$D$42</c:f>
              <c:numCache>
                <c:formatCode>#,##0</c:formatCode>
                <c:ptCount val="2"/>
                <c:pt idx="0">
                  <c:v>142595.45382869602</c:v>
                </c:pt>
                <c:pt idx="1">
                  <c:v>121014.50490460399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101603.120882182</c:v>
                </c:pt>
                <c:pt idx="1">
                  <c:v>111187.65730651401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'5.2'!$C$41:$D$41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80757.576079054998</c:v>
                </c:pt>
                <c:pt idx="1">
                  <c:v>82184.998163252996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118400"/>
        <c:axId val="154124288"/>
      </c:barChart>
      <c:catAx>
        <c:axId val="1541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124288"/>
        <c:crosses val="autoZero"/>
        <c:auto val="1"/>
        <c:lblAlgn val="ctr"/>
        <c:lblOffset val="100"/>
        <c:noMultiLvlLbl val="0"/>
      </c:catAx>
      <c:valAx>
        <c:axId val="1541242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11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8095451246888922E-3"/>
          <c:y val="0.92930668515436265"/>
          <c:w val="0.50885647046057236"/>
          <c:h val="5.99676464339194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3264503441494594E-2"/>
          <c:w val="0.77090245307366301"/>
          <c:h val="0.7667560139053414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'5.2'!$H$42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'5.2'!$I$42:$J$42</c:f>
              <c:numCache>
                <c:formatCode>0.0%</c:formatCode>
                <c:ptCount val="2"/>
                <c:pt idx="0">
                  <c:v>0.43881444767874678</c:v>
                </c:pt>
                <c:pt idx="1">
                  <c:v>0.38492190571809737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0.3126671725868117</c:v>
                </c:pt>
                <c:pt idx="1">
                  <c:v>0.35366475263847352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0.24851837973444146</c:v>
                </c:pt>
                <c:pt idx="1">
                  <c:v>0.26141334164342916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69536"/>
        <c:axId val="162371456"/>
      </c:barChart>
      <c:catAx>
        <c:axId val="16236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71456"/>
        <c:crosses val="autoZero"/>
        <c:auto val="1"/>
        <c:lblAlgn val="ctr"/>
        <c:lblOffset val="100"/>
        <c:noMultiLvlLbl val="0"/>
      </c:catAx>
      <c:valAx>
        <c:axId val="162371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695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930668515436265"/>
          <c:w val="0.8312526347291902"/>
          <c:h val="6.03185054086669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4.569055036344756E-2"/>
          <c:w val="0.77090245307366301"/>
          <c:h val="0.7578305982780190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'5.3'!$H$42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'5.3'!$I$42:$J$42</c:f>
              <c:numCache>
                <c:formatCode>0.0%</c:formatCode>
                <c:ptCount val="2"/>
                <c:pt idx="0">
                  <c:v>0.42185670089953137</c:v>
                </c:pt>
                <c:pt idx="1">
                  <c:v>0.37945788542828857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0.32153063836906992</c:v>
                </c:pt>
                <c:pt idx="1">
                  <c:v>0.34902908634448487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0.25661266073139871</c:v>
                </c:pt>
                <c:pt idx="1">
                  <c:v>0.2715130282272265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499648"/>
        <c:axId val="167329792"/>
      </c:barChart>
      <c:catAx>
        <c:axId val="16749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7329792"/>
        <c:crosses val="autoZero"/>
        <c:auto val="1"/>
        <c:lblAlgn val="ctr"/>
        <c:lblOffset val="100"/>
        <c:noMultiLvlLbl val="0"/>
      </c:catAx>
      <c:valAx>
        <c:axId val="1673297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7499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7553732385528067E-2"/>
          <c:y val="0.92930668515436265"/>
          <c:w val="0.76994992807792684"/>
          <c:h val="6.3704044589688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'5.3'!$C$42:$D$42</c:f>
              <c:numCache>
                <c:formatCode>#,##0</c:formatCode>
                <c:ptCount val="2"/>
                <c:pt idx="0">
                  <c:v>952749.04792148503</c:v>
                </c:pt>
                <c:pt idx="1">
                  <c:v>839935.16501365206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726166.03915621003</c:v>
                </c:pt>
                <c:pt idx="1">
                  <c:v>772580.60641547001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'5.3'!$C$41:$D$41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579550.98893798504</c:v>
                </c:pt>
                <c:pt idx="1">
                  <c:v>600997.76266341493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96032"/>
        <c:axId val="162397568"/>
      </c:barChart>
      <c:catAx>
        <c:axId val="1623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2397568"/>
        <c:crosses val="autoZero"/>
        <c:auto val="1"/>
        <c:lblAlgn val="ctr"/>
        <c:lblOffset val="100"/>
        <c:noMultiLvlLbl val="0"/>
      </c:catAx>
      <c:valAx>
        <c:axId val="1623975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3960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62599686667073595"/>
          <c:h val="6.28943846432007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'5.4'!$C$42:$D$42</c:f>
              <c:numCache>
                <c:formatCode>#,##0</c:formatCode>
                <c:ptCount val="2"/>
                <c:pt idx="0">
                  <c:v>47120.179000000004</c:v>
                </c:pt>
                <c:pt idx="1">
                  <c:v>41244.190001000003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35299.401000999998</c:v>
                </c:pt>
                <c:pt idx="1">
                  <c:v>37705.031000000003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'5.4'!$C$41:$D$41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29728.924000999999</c:v>
                </c:pt>
                <c:pt idx="1">
                  <c:v>29971.272998999997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995840"/>
        <c:axId val="168997632"/>
      </c:barChart>
      <c:catAx>
        <c:axId val="16899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997632"/>
        <c:crosses val="autoZero"/>
        <c:auto val="1"/>
        <c:lblAlgn val="ctr"/>
        <c:lblOffset val="100"/>
        <c:noMultiLvlLbl val="0"/>
      </c:catAx>
      <c:valAx>
        <c:axId val="168997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8995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930668515436265"/>
          <c:w val="0.49507524737702363"/>
          <c:h val="6.3507830899987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2380972021361841E-2"/>
          <c:w val="0.77090245307366301"/>
          <c:h val="0.741417600831496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'5.4'!$H$42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'5.4'!$I$42:$J$42</c:f>
              <c:numCache>
                <c:formatCode>0.0%</c:formatCode>
                <c:ptCount val="2"/>
                <c:pt idx="0">
                  <c:v>0.420158783385641</c:v>
                </c:pt>
                <c:pt idx="1">
                  <c:v>0.37866326607920092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0.31475587940406669</c:v>
                </c:pt>
                <c:pt idx="1">
                  <c:v>0.34617021659854025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0.26508533721029248</c:v>
                </c:pt>
                <c:pt idx="1">
                  <c:v>0.27516651732225894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57280"/>
        <c:axId val="168659200"/>
      </c:barChart>
      <c:catAx>
        <c:axId val="1686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659200"/>
        <c:crosses val="autoZero"/>
        <c:auto val="1"/>
        <c:lblAlgn val="ctr"/>
        <c:lblOffset val="100"/>
        <c:noMultiLvlLbl val="0"/>
      </c:catAx>
      <c:valAx>
        <c:axId val="1686592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57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445173497922801E-2"/>
          <c:y val="0.92930668515436265"/>
          <c:w val="0.75973281030271644"/>
          <c:h val="6.39014744799462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'5.5'!$C$42:$D$42</c:f>
              <c:numCache>
                <c:formatCode>#,##0</c:formatCode>
                <c:ptCount val="2"/>
                <c:pt idx="0">
                  <c:v>90239.465120000037</c:v>
                </c:pt>
                <c:pt idx="1">
                  <c:v>41929.285950000005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FC-4D96-973A-76E5C7E339F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61474.800102000008</c:v>
                </c:pt>
                <c:pt idx="1">
                  <c:v>40464.472119999999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'5.5'!$C$41:$D$41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30968.199979999994</c:v>
                </c:pt>
                <c:pt idx="1">
                  <c:v>37841.401010000001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9018880"/>
        <c:axId val="169020416"/>
      </c:barChart>
      <c:catAx>
        <c:axId val="169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20416"/>
        <c:crosses val="autoZero"/>
        <c:auto val="1"/>
        <c:lblAlgn val="ctr"/>
        <c:lblOffset val="100"/>
        <c:noMultiLvlLbl val="0"/>
      </c:catAx>
      <c:valAx>
        <c:axId val="1690204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9018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642393538017259E-3"/>
          <c:y val="0.92677883821858886"/>
          <c:w val="0.5467548339403312"/>
          <c:h val="7.322116747834575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'3.2'!$N$27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'3.2'!$N$28:$N$39</c:f>
              <c:numCache>
                <c:formatCode>#,##0.0</c:formatCode>
                <c:ptCount val="12"/>
                <c:pt idx="0">
                  <c:v>990.88952500000016</c:v>
                </c:pt>
                <c:pt idx="1">
                  <c:v>721.53760799999998</c:v>
                </c:pt>
                <c:pt idx="2">
                  <c:v>121.383769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'3.2'!$O$27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'3.2'!$M$28:$M$39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'3.2'!$O$28:$O$39</c:f>
              <c:numCache>
                <c:formatCode>#,##0.0</c:formatCode>
                <c:ptCount val="12"/>
                <c:pt idx="0">
                  <c:v>-4.1741289999999998</c:v>
                </c:pt>
                <c:pt idx="1">
                  <c:v>-31.317238999999997</c:v>
                </c:pt>
                <c:pt idx="2">
                  <c:v>-0.98481300000000005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30"/>
        <c:axId val="162464128"/>
        <c:axId val="162465664"/>
      </c:barChart>
      <c:catAx>
        <c:axId val="16246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465664"/>
        <c:crosses val="autoZero"/>
        <c:auto val="1"/>
        <c:lblAlgn val="ctr"/>
        <c:lblOffset val="100"/>
        <c:noMultiLvlLbl val="0"/>
      </c:catAx>
      <c:valAx>
        <c:axId val="162465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464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891071983580152E-3"/>
          <c:y val="0.92037766542394239"/>
          <c:w val="0.19180372348222202"/>
          <c:h val="7.907523343339069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90339916267905"/>
          <c:y val="5.4522924411400248E-2"/>
          <c:w val="0.77090245307366301"/>
          <c:h val="0.7506702182673262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'5.5'!$H$42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'5.5'!$I$42:$J$42</c:f>
              <c:numCache>
                <c:formatCode>0.0%</c:formatCode>
                <c:ptCount val="2"/>
                <c:pt idx="0">
                  <c:v>0.4939689478145497</c:v>
                </c:pt>
                <c:pt idx="1">
                  <c:v>0.34872732960000347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0.33651177212889383</c:v>
                </c:pt>
                <c:pt idx="1">
                  <c:v>0.33654442202780677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'5.5'!$I$41:$J$41</c:f>
              <c:numCache>
                <c:formatCode>General</c:formatCode>
                <c:ptCount val="2"/>
                <c:pt idx="0">
                  <c:v>2026</c:v>
                </c:pt>
                <c:pt idx="1">
                  <c:v>2025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0.16951928005655659</c:v>
                </c:pt>
                <c:pt idx="1">
                  <c:v>0.31472824837218993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688640"/>
        <c:axId val="169047168"/>
      </c:barChart>
      <c:catAx>
        <c:axId val="16868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9047168"/>
        <c:crosses val="autoZero"/>
        <c:auto val="1"/>
        <c:lblAlgn val="ctr"/>
        <c:lblOffset val="100"/>
        <c:noMultiLvlLbl val="0"/>
      </c:catAx>
      <c:valAx>
        <c:axId val="169047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86886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2280557227122625E-3"/>
          <c:y val="0.92641590804866869"/>
          <c:w val="0.8516868702796111"/>
          <c:h val="7.358391856423351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142595.45382869602</c:v>
                </c:pt>
                <c:pt idx="1">
                  <c:v>952749.04792148503</c:v>
                </c:pt>
                <c:pt idx="2">
                  <c:v>47120.179000000004</c:v>
                </c:pt>
                <c:pt idx="3">
                  <c:v>90239.465120000037</c:v>
                </c:pt>
                <c:pt idx="4">
                  <c:v>1232704.145870181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633856"/>
        <c:axId val="170647936"/>
      </c:barChart>
      <c:catAx>
        <c:axId val="1706338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647936"/>
        <c:crosses val="autoZero"/>
        <c:auto val="1"/>
        <c:lblAlgn val="ctr"/>
        <c:lblOffset val="100"/>
        <c:noMultiLvlLbl val="0"/>
      </c:catAx>
      <c:valAx>
        <c:axId val="1706479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6338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355955752856697"/>
          <c:y val="0.20497323309304039"/>
          <c:w val="0.57618404471541451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5D4-4309-9AED-1B1D39D8D9A1}"/>
              </c:ext>
            </c:extLst>
          </c:dPt>
          <c:dPt>
            <c:idx val="1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3-75D4-4309-9AED-1B1D39D8D9A1}"/>
              </c:ext>
            </c:extLst>
          </c:dPt>
          <c:dPt>
            <c:idx val="2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4-75D4-4309-9AED-1B1D39D8D9A1}"/>
              </c:ext>
            </c:extLst>
          </c:dPt>
          <c:dPt>
            <c:idx val="3"/>
            <c:invertIfNegative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5-75D4-4309-9AED-1B1D39D8D9A1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#,##0.0</c:formatCode>
                <c:ptCount val="5"/>
                <c:pt idx="0">
                  <c:v>-1.7322580645161292</c:v>
                </c:pt>
                <c:pt idx="1">
                  <c:v>-2.7451612903225802</c:v>
                </c:pt>
                <c:pt idx="2">
                  <c:v>-3.1193548387096768</c:v>
                </c:pt>
                <c:pt idx="3">
                  <c:v>-2.7806451612903227</c:v>
                </c:pt>
                <c:pt idx="4">
                  <c:v>-2.7806451612903227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275584"/>
        <c:axId val="170277120"/>
      </c:barChart>
      <c:catAx>
        <c:axId val="1702755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277120"/>
        <c:crosses val="autoZero"/>
        <c:auto val="1"/>
        <c:lblAlgn val="ctr"/>
        <c:lblOffset val="100"/>
        <c:noMultiLvlLbl val="0"/>
      </c:catAx>
      <c:valAx>
        <c:axId val="1702771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275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787178035960902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#,##0.0</c:formatCode>
                <c:ptCount val="5"/>
                <c:pt idx="0">
                  <c:v>3.5</c:v>
                </c:pt>
                <c:pt idx="1">
                  <c:v>1.6833333333333333</c:v>
                </c:pt>
                <c:pt idx="2">
                  <c:v>2.2000000000000002</c:v>
                </c:pt>
                <c:pt idx="3">
                  <c:v>1.7</c:v>
                </c:pt>
                <c:pt idx="4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#,##0.0</c:formatCode>
                <c:ptCount val="5"/>
                <c:pt idx="0">
                  <c:v>-6.4</c:v>
                </c:pt>
                <c:pt idx="1">
                  <c:v>-7.75</c:v>
                </c:pt>
                <c:pt idx="2">
                  <c:v>-8.9</c:v>
                </c:pt>
                <c:pt idx="3">
                  <c:v>-7.8</c:v>
                </c:pt>
                <c:pt idx="4">
                  <c:v>-7.8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308352"/>
        <c:axId val="170309888"/>
      </c:barChart>
      <c:catAx>
        <c:axId val="1703083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309888"/>
        <c:crosses val="autoZero"/>
        <c:auto val="1"/>
        <c:lblAlgn val="ctr"/>
        <c:lblOffset val="100"/>
        <c:noMultiLvlLbl val="0"/>
      </c:catAx>
      <c:valAx>
        <c:axId val="17030988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3083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33687823658444793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0.11567694836301222</c:v>
                </c:pt>
                <c:pt idx="1">
                  <c:v>0.77289352121788135</c:v>
                </c:pt>
                <c:pt idx="2">
                  <c:v>3.8225051126714017E-2</c:v>
                </c:pt>
                <c:pt idx="3">
                  <c:v>7.3204479292392488E-2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101603.120882182</c:v>
                </c:pt>
                <c:pt idx="1">
                  <c:v>726166.03915621003</c:v>
                </c:pt>
                <c:pt idx="2">
                  <c:v>35299.401000999998</c:v>
                </c:pt>
                <c:pt idx="3">
                  <c:v>61474.800102000008</c:v>
                </c:pt>
                <c:pt idx="4">
                  <c:v>924543.36114139203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68960"/>
        <c:axId val="170970496"/>
      </c:barChart>
      <c:catAx>
        <c:axId val="17096896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0970496"/>
        <c:crosses val="autoZero"/>
        <c:auto val="1"/>
        <c:lblAlgn val="ctr"/>
        <c:lblOffset val="100"/>
        <c:noMultiLvlLbl val="0"/>
      </c:catAx>
      <c:valAx>
        <c:axId val="17097049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68960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4170619442686651"/>
          <c:y val="0.20497323309304039"/>
          <c:w val="0.56803740781711498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#,##0.0</c:formatCode>
                <c:ptCount val="5"/>
                <c:pt idx="0">
                  <c:v>2.7964285714285713</c:v>
                </c:pt>
                <c:pt idx="1">
                  <c:v>1.4101190476190477</c:v>
                </c:pt>
                <c:pt idx="2">
                  <c:v>1.7428571428571427</c:v>
                </c:pt>
                <c:pt idx="3">
                  <c:v>1.4607142857142859</c:v>
                </c:pt>
                <c:pt idx="4">
                  <c:v>1.4607142857142859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9095168"/>
        <c:axId val="169096704"/>
      </c:barChart>
      <c:catAx>
        <c:axId val="1690951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9096704"/>
        <c:crosses val="autoZero"/>
        <c:auto val="1"/>
        <c:lblAlgn val="ctr"/>
        <c:lblOffset val="100"/>
        <c:noMultiLvlLbl val="0"/>
      </c:catAx>
      <c:valAx>
        <c:axId val="16909670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9095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117089963161121"/>
          <c:h val="0.829987579364642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#,##0.0</c:formatCode>
                <c:ptCount val="5"/>
                <c:pt idx="0">
                  <c:v>9.1999999999999993</c:v>
                </c:pt>
                <c:pt idx="1">
                  <c:v>6.9833333333333334</c:v>
                </c:pt>
                <c:pt idx="2">
                  <c:v>7.2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#,##0.0</c:formatCode>
                <c:ptCount val="5"/>
                <c:pt idx="0">
                  <c:v>-3.3</c:v>
                </c:pt>
                <c:pt idx="1">
                  <c:v>-4.6333333333333337</c:v>
                </c:pt>
                <c:pt idx="2">
                  <c:v>-6</c:v>
                </c:pt>
                <c:pt idx="3">
                  <c:v>-4.5999999999999996</c:v>
                </c:pt>
                <c:pt idx="4">
                  <c:v>-4.5999999999999996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0811392"/>
        <c:axId val="170812928"/>
      </c:barChart>
      <c:catAx>
        <c:axId val="1708113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812928"/>
        <c:crosses val="autoZero"/>
        <c:auto val="1"/>
        <c:lblAlgn val="ctr"/>
        <c:lblOffset val="100"/>
        <c:noMultiLvlLbl val="0"/>
      </c:catAx>
      <c:valAx>
        <c:axId val="170812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81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33491624552514565"/>
                  <c:y val="-9.46436289103438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0.10989546315788606</c:v>
                </c:pt>
                <c:pt idx="1">
                  <c:v>0.78543210592061807</c:v>
                </c:pt>
                <c:pt idx="2">
                  <c:v>3.8180362852231441E-2</c:v>
                </c:pt>
                <c:pt idx="3">
                  <c:v>6.6492068069264471E-2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80757.576079054998</c:v>
                </c:pt>
                <c:pt idx="1">
                  <c:v>579550.98893798504</c:v>
                </c:pt>
                <c:pt idx="2">
                  <c:v>29728.924000999999</c:v>
                </c:pt>
                <c:pt idx="3">
                  <c:v>30968.199979999994</c:v>
                </c:pt>
                <c:pt idx="4">
                  <c:v>721005.68899804004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8719488"/>
        <c:axId val="168721024"/>
      </c:barChart>
      <c:catAx>
        <c:axId val="1687194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8721024"/>
        <c:crosses val="autoZero"/>
        <c:auto val="1"/>
        <c:lblAlgn val="ctr"/>
        <c:lblOffset val="100"/>
        <c:noMultiLvlLbl val="0"/>
      </c:catAx>
      <c:valAx>
        <c:axId val="16872102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1948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987667222797443E-2"/>
          <c:y val="7.1139872600047768E-2"/>
          <c:w val="0.876392993628898"/>
          <c:h val="0.607427063807424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'4.1'!$E$28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'4.1'!$E$29:$E$40</c:f>
              <c:numCache>
                <c:formatCode>#,##0.0</c:formatCode>
                <c:ptCount val="12"/>
                <c:pt idx="0">
                  <c:v>1232.7041458701813</c:v>
                </c:pt>
                <c:pt idx="1">
                  <c:v>924.54336114139187</c:v>
                </c:pt>
                <c:pt idx="2">
                  <c:v>721.00568899803977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'4.1'!$F$28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'4.1'!$F$29:$F$40</c:f>
              <c:numCache>
                <c:formatCode>#,##0.0</c:formatCode>
                <c:ptCount val="12"/>
                <c:pt idx="0">
                  <c:v>1171.2408335837235</c:v>
                </c:pt>
                <c:pt idx="1">
                  <c:v>961.38819945869488</c:v>
                </c:pt>
                <c:pt idx="2">
                  <c:v>783.36101516030419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85632"/>
        <c:axId val="162887168"/>
      </c:barChart>
      <c:catAx>
        <c:axId val="16288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887168"/>
        <c:crosses val="autoZero"/>
        <c:auto val="1"/>
        <c:lblAlgn val="ctr"/>
        <c:lblOffset val="100"/>
        <c:noMultiLvlLbl val="0"/>
      </c:catAx>
      <c:valAx>
        <c:axId val="1628871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856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090010774851205E-3"/>
          <c:y val="0.89268772123053763"/>
          <c:w val="0.28870175114184005"/>
          <c:h val="9.601031095304514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355955752856697"/>
          <c:y val="0.20497323309304039"/>
          <c:w val="0.57618404471541451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#,##0.0</c:formatCode>
                <c:ptCount val="5"/>
                <c:pt idx="0">
                  <c:v>6.6645161290322568</c:v>
                </c:pt>
                <c:pt idx="1">
                  <c:v>5.3870967741935489</c:v>
                </c:pt>
                <c:pt idx="2">
                  <c:v>4.6806451612903235</c:v>
                </c:pt>
                <c:pt idx="3">
                  <c:v>5.3870967741935489</c:v>
                </c:pt>
                <c:pt idx="4">
                  <c:v>5.3870967741935489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900480"/>
        <c:axId val="170902272"/>
      </c:barChart>
      <c:catAx>
        <c:axId val="1709004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0902272"/>
        <c:crosses val="autoZero"/>
        <c:auto val="1"/>
        <c:lblAlgn val="ctr"/>
        <c:lblOffset val="100"/>
        <c:noMultiLvlLbl val="0"/>
      </c:catAx>
      <c:valAx>
        <c:axId val="1709022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9004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2512737836553811"/>
          <c:h val="0.81424572325100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#,##0.0</c:formatCode>
                <c:ptCount val="5"/>
                <c:pt idx="0">
                  <c:v>10</c:v>
                </c:pt>
                <c:pt idx="1">
                  <c:v>9.6</c:v>
                </c:pt>
                <c:pt idx="2">
                  <c:v>8.8000000000000007</c:v>
                </c:pt>
                <c:pt idx="3">
                  <c:v>9.6999999999999993</c:v>
                </c:pt>
                <c:pt idx="4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#,##0.0</c:formatCode>
                <c:ptCount val="5"/>
                <c:pt idx="0">
                  <c:v>1.2</c:v>
                </c:pt>
                <c:pt idx="1">
                  <c:v>2.3000000000000003</c:v>
                </c:pt>
                <c:pt idx="2">
                  <c:v>1.8</c:v>
                </c:pt>
                <c:pt idx="3">
                  <c:v>2.4</c:v>
                </c:pt>
                <c:pt idx="4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795136"/>
        <c:axId val="168796928"/>
      </c:barChart>
      <c:catAx>
        <c:axId val="1687951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8796928"/>
        <c:crosses val="autoZero"/>
        <c:auto val="1"/>
        <c:lblAlgn val="ctr"/>
        <c:lblOffset val="100"/>
        <c:noMultiLvlLbl val="0"/>
      </c:catAx>
      <c:valAx>
        <c:axId val="168796928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87951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spPr>
            <a:solidFill>
              <a:srgbClr val="233060"/>
            </a:solidFill>
          </c:spPr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0.11200685003093579</c:v>
                </c:pt>
                <c:pt idx="1">
                  <c:v>0.80380917624016202</c:v>
                </c:pt>
                <c:pt idx="2">
                  <c:v>4.1232578958306683E-2</c:v>
                </c:pt>
                <c:pt idx="3">
                  <c:v>4.2951394770595459E-2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324956.15078993305</c:v>
                </c:pt>
                <c:pt idx="1">
                  <c:v>2258466.0760156801</c:v>
                </c:pt>
                <c:pt idx="2">
                  <c:v>112148.50400199999</c:v>
                </c:pt>
                <c:pt idx="3">
                  <c:v>182682.46520200002</c:v>
                </c:pt>
                <c:pt idx="4">
                  <c:v>2878253.1960096136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28576"/>
        <c:axId val="171530112"/>
      </c:barChart>
      <c:catAx>
        <c:axId val="1715285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71530112"/>
        <c:crosses val="autoZero"/>
        <c:auto val="1"/>
        <c:lblAlgn val="ctr"/>
        <c:lblOffset val="100"/>
        <c:noMultiLvlLbl val="0"/>
      </c:catAx>
      <c:valAx>
        <c:axId val="17153011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28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54129206302675"/>
          <c:y val="0.20497323309304039"/>
          <c:w val="0.5843306816137140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#,##0.0</c:formatCode>
                <c:ptCount val="5"/>
                <c:pt idx="0">
                  <c:v>2.5762288786482332</c:v>
                </c:pt>
                <c:pt idx="1">
                  <c:v>1.3506848438300054</c:v>
                </c:pt>
                <c:pt idx="2">
                  <c:v>1.1013824884792631</c:v>
                </c:pt>
                <c:pt idx="3">
                  <c:v>1.3557219662058373</c:v>
                </c:pt>
                <c:pt idx="4">
                  <c:v>1.3557219662058373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563264"/>
        <c:axId val="171569152"/>
      </c:barChart>
      <c:catAx>
        <c:axId val="1715632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569152"/>
        <c:crosses val="autoZero"/>
        <c:auto val="1"/>
        <c:lblAlgn val="ctr"/>
        <c:lblOffset val="100"/>
        <c:noMultiLvlLbl val="0"/>
      </c:catAx>
      <c:valAx>
        <c:axId val="171569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56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1721442089768441"/>
          <c:h val="0.802050017469831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233060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#,##0.0</c:formatCode>
                <c:ptCount val="5"/>
                <c:pt idx="0">
                  <c:v>10</c:v>
                </c:pt>
                <c:pt idx="1">
                  <c:v>9.6</c:v>
                </c:pt>
                <c:pt idx="2">
                  <c:v>8.8000000000000007</c:v>
                </c:pt>
                <c:pt idx="3">
                  <c:v>9.6999999999999993</c:v>
                </c:pt>
                <c:pt idx="4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rgbClr val="C7CCD6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C7CCD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#,##0.0</c:formatCode>
                <c:ptCount val="5"/>
                <c:pt idx="0">
                  <c:v>-6.4</c:v>
                </c:pt>
                <c:pt idx="1">
                  <c:v>-7.75</c:v>
                </c:pt>
                <c:pt idx="2">
                  <c:v>-8.9</c:v>
                </c:pt>
                <c:pt idx="3">
                  <c:v>-7.8</c:v>
                </c:pt>
                <c:pt idx="4">
                  <c:v>-7.8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1600128"/>
        <c:axId val="171601920"/>
      </c:barChart>
      <c:catAx>
        <c:axId val="1716001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71601920"/>
        <c:crosses val="autoZero"/>
        <c:auto val="1"/>
        <c:lblAlgn val="ctr"/>
        <c:lblOffset val="100"/>
        <c:noMultiLvlLbl val="0"/>
      </c:catAx>
      <c:valAx>
        <c:axId val="171601920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60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spPr>
              <a:solidFill>
                <a:srgbClr val="C7CCD6"/>
              </a:solidFill>
            </c:spPr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3594444964749431"/>
                  <c:y val="-0.1135733296495832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PPD</c:v>
                </c:pt>
                <c:pt idx="1">
                  <c:v>GasNet</c:v>
                </c:pt>
                <c:pt idx="2">
                  <c:v>GasD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0.11290047423223556</c:v>
                </c:pt>
                <c:pt idx="1">
                  <c:v>0.78466553225643898</c:v>
                </c:pt>
                <c:pt idx="2">
                  <c:v>3.8964085632730905E-2</c:v>
                </c:pt>
                <c:pt idx="3">
                  <c:v>6.3469907878594384E-2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88368183584301"/>
          <c:y val="6.4472404866917424E-2"/>
          <c:w val="0.7690258581725623"/>
          <c:h val="0.736058075754549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'5.10'!$D$31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'5.10'!$E$31:$H$31</c:f>
              <c:numCache>
                <c:formatCode>General</c:formatCode>
                <c:ptCount val="4"/>
                <c:pt idx="0">
                  <c:v>324956.15078993305</c:v>
                </c:pt>
                <c:pt idx="1">
                  <c:v>2258466.0760156801</c:v>
                </c:pt>
                <c:pt idx="2">
                  <c:v>112148.504002</c:v>
                </c:pt>
                <c:pt idx="3">
                  <c:v>182682.46520200002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'5.10'!$D$32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'5.10'!$D$33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'5.10'!$D$34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'5.10'!$E$30:$H$30</c:f>
              <c:strCache>
                <c:ptCount val="4"/>
                <c:pt idx="0">
                  <c:v>PPD</c:v>
                </c:pt>
                <c:pt idx="1">
                  <c:v> GasNet</c:v>
                </c:pt>
                <c:pt idx="2">
                  <c:v> GasD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71329792"/>
        <c:axId val="171335680"/>
      </c:barChart>
      <c:catAx>
        <c:axId val="1713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1335680"/>
        <c:crosses val="autoZero"/>
        <c:auto val="1"/>
        <c:lblAlgn val="ctr"/>
        <c:lblOffset val="100"/>
        <c:noMultiLvlLbl val="0"/>
      </c:catAx>
      <c:valAx>
        <c:axId val="171335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71329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6666270190546593E-3"/>
          <c:y val="0.92739706505758956"/>
          <c:w val="0.42063452038283733"/>
          <c:h val="5.0495205956398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'6.8'!$D$7:$D$20</c:f>
              <c:numCache>
                <c:formatCode>#,##0</c:formatCode>
                <c:ptCount val="14"/>
                <c:pt idx="0">
                  <c:v>471395.67250400002</c:v>
                </c:pt>
                <c:pt idx="1">
                  <c:v>1688401.9411199999</c:v>
                </c:pt>
                <c:pt idx="2">
                  <c:v>454093.72933999996</c:v>
                </c:pt>
                <c:pt idx="3">
                  <c:v>580993.41591999994</c:v>
                </c:pt>
                <c:pt idx="4">
                  <c:v>515207.20811000001</c:v>
                </c:pt>
                <c:pt idx="5">
                  <c:v>1422160.1530279999</c:v>
                </c:pt>
                <c:pt idx="6">
                  <c:v>833715.72914000007</c:v>
                </c:pt>
                <c:pt idx="7">
                  <c:v>566474.96141300001</c:v>
                </c:pt>
                <c:pt idx="8">
                  <c:v>567410.16197000002</c:v>
                </c:pt>
                <c:pt idx="9">
                  <c:v>1371588.5356453541</c:v>
                </c:pt>
                <c:pt idx="10">
                  <c:v>1726092.640374701</c:v>
                </c:pt>
                <c:pt idx="11">
                  <c:v>1936069.1084639998</c:v>
                </c:pt>
                <c:pt idx="12">
                  <c:v>524770.291172</c:v>
                </c:pt>
                <c:pt idx="13">
                  <c:v>659280.82724000001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227200"/>
        <c:axId val="170676608"/>
      </c:barChart>
      <c:catAx>
        <c:axId val="172227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0676608"/>
        <c:crosses val="autoZero"/>
        <c:auto val="1"/>
        <c:lblAlgn val="ctr"/>
        <c:lblOffset val="100"/>
        <c:noMultiLvlLbl val="0"/>
      </c:catAx>
      <c:valAx>
        <c:axId val="170676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227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322834645669287"/>
          <c:y val="0.11005524565183827"/>
          <c:w val="0.626515220080248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'6.8'!$A$7:$A$20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'6.8'!$G$7:$G$20</c:f>
              <c:numCache>
                <c:formatCode>#,##0.0</c:formatCode>
                <c:ptCount val="14"/>
                <c:pt idx="0">
                  <c:v>-3.0322580645161286</c:v>
                </c:pt>
                <c:pt idx="1">
                  <c:v>-2.2741935483870956</c:v>
                </c:pt>
                <c:pt idx="2">
                  <c:v>-3.9483870967741943</c:v>
                </c:pt>
                <c:pt idx="3">
                  <c:v>-3.064516129032258</c:v>
                </c:pt>
                <c:pt idx="4">
                  <c:v>-2.2193548387096773</c:v>
                </c:pt>
                <c:pt idx="5">
                  <c:v>-2.5612903225806449</c:v>
                </c:pt>
                <c:pt idx="6">
                  <c:v>-2.9903225806451617</c:v>
                </c:pt>
                <c:pt idx="7">
                  <c:v>-2.6129032258064515</c:v>
                </c:pt>
                <c:pt idx="8">
                  <c:v>-2.8129032258064508</c:v>
                </c:pt>
                <c:pt idx="9">
                  <c:v>-1.393548387096774</c:v>
                </c:pt>
                <c:pt idx="10">
                  <c:v>-2.2129032258064512</c:v>
                </c:pt>
                <c:pt idx="11">
                  <c:v>-2.648387096774194</c:v>
                </c:pt>
                <c:pt idx="12">
                  <c:v>-3.3451612903225807</c:v>
                </c:pt>
                <c:pt idx="13">
                  <c:v>-2.3645161290322578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0713088"/>
        <c:axId val="170714624"/>
      </c:barChart>
      <c:catAx>
        <c:axId val="1707130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0714624"/>
        <c:crosses val="autoZero"/>
        <c:auto val="1"/>
        <c:lblAlgn val="ctr"/>
        <c:lblOffset val="100"/>
        <c:noMultiLvlLbl val="0"/>
      </c:catAx>
      <c:valAx>
        <c:axId val="170714624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071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207921641351791E-2"/>
          <c:y val="7.1836716223887848E-2"/>
          <c:w val="0.90558639762917237"/>
          <c:h val="0.603581654229367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'4.1'!$N$28</c:f>
              <c:strCache>
                <c:ptCount val="1"/>
                <c:pt idx="0">
                  <c:v> Průměr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'4.1'!$N$29:$N$40</c:f>
              <c:numCache>
                <c:formatCode>#,##0.0</c:formatCode>
                <c:ptCount val="12"/>
                <c:pt idx="0">
                  <c:v>-2.7806451612903227</c:v>
                </c:pt>
                <c:pt idx="1">
                  <c:v>1.4607142857142859</c:v>
                </c:pt>
                <c:pt idx="2">
                  <c:v>5.3870967741935489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'4.1'!$O$28</c:f>
              <c:strCache>
                <c:ptCount val="1"/>
                <c:pt idx="0">
                  <c:v> Normál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'4.1'!$M$29:$M$40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'4.1'!$O$29:$O$40</c:f>
              <c:numCache>
                <c:formatCode>#,##0.0</c:formatCode>
                <c:ptCount val="12"/>
                <c:pt idx="0">
                  <c:v>-1.1741935483870967</c:v>
                </c:pt>
                <c:pt idx="1">
                  <c:v>0.26896551724137935</c:v>
                </c:pt>
                <c:pt idx="2">
                  <c:v>3.4870967741935481</c:v>
                </c:pt>
                <c:pt idx="3">
                  <c:v>8.6933333333333316</c:v>
                </c:pt>
                <c:pt idx="4">
                  <c:v>13.409677419354839</c:v>
                </c:pt>
                <c:pt idx="5">
                  <c:v>17</c:v>
                </c:pt>
                <c:pt idx="6">
                  <c:v>18.674193548387095</c:v>
                </c:pt>
                <c:pt idx="7">
                  <c:v>18.203225806451616</c:v>
                </c:pt>
                <c:pt idx="8">
                  <c:v>13.360000000000001</c:v>
                </c:pt>
                <c:pt idx="9">
                  <c:v>8.6774193548387117</c:v>
                </c:pt>
                <c:pt idx="10">
                  <c:v>3.9166666666666656</c:v>
                </c:pt>
                <c:pt idx="11">
                  <c:v>-8.0645161290322551E-2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96512"/>
        <c:axId val="162914688"/>
      </c:barChart>
      <c:catAx>
        <c:axId val="162896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62914688"/>
        <c:crosses val="autoZero"/>
        <c:auto val="1"/>
        <c:lblAlgn val="ctr"/>
        <c:lblOffset val="100"/>
        <c:noMultiLvlLbl val="0"/>
      </c:catAx>
      <c:valAx>
        <c:axId val="1629146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28965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117552045021956E-3"/>
          <c:y val="0.89591169395866144"/>
          <c:w val="0.22936697982969578"/>
          <c:h val="9.695077050920250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939692883217182"/>
          <c:y val="0.11005524565183827"/>
          <c:w val="0.6303466377047696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'6.9'!$G$7:$G$20</c:f>
              <c:numCache>
                <c:formatCode>#,##0.0</c:formatCode>
                <c:ptCount val="14"/>
                <c:pt idx="0">
                  <c:v>1.857142857142857</c:v>
                </c:pt>
                <c:pt idx="1">
                  <c:v>2.0071428571428571</c:v>
                </c:pt>
                <c:pt idx="2">
                  <c:v>1.1607142857142858</c:v>
                </c:pt>
                <c:pt idx="3">
                  <c:v>0.91785714285714293</c:v>
                </c:pt>
                <c:pt idx="4">
                  <c:v>1.25</c:v>
                </c:pt>
                <c:pt idx="5">
                  <c:v>0.67142857142857149</c:v>
                </c:pt>
                <c:pt idx="6">
                  <c:v>0.56071428571428594</c:v>
                </c:pt>
                <c:pt idx="7">
                  <c:v>1.3071428571428572</c:v>
                </c:pt>
                <c:pt idx="8">
                  <c:v>2.2821428571428575</c:v>
                </c:pt>
                <c:pt idx="9">
                  <c:v>3.157142857142857</c:v>
                </c:pt>
                <c:pt idx="10">
                  <c:v>2.3107142857142855</c:v>
                </c:pt>
                <c:pt idx="11">
                  <c:v>1.6071428571428572</c:v>
                </c:pt>
                <c:pt idx="12">
                  <c:v>1.0107142857142857</c:v>
                </c:pt>
                <c:pt idx="13">
                  <c:v>0.97499999999999998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1095936"/>
        <c:axId val="171097472"/>
      </c:barChart>
      <c:catAx>
        <c:axId val="1710959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1097472"/>
        <c:crosses val="autoZero"/>
        <c:auto val="1"/>
        <c:lblAlgn val="ctr"/>
        <c:lblOffset val="100"/>
        <c:noMultiLvlLbl val="0"/>
      </c:catAx>
      <c:valAx>
        <c:axId val="17109747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109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531812833740611"/>
          <c:y val="0.11005524565183827"/>
          <c:w val="0.56350011107545717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'6.9'!$A$7:$A$20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'6.9'!$D$7:$D$20</c:f>
              <c:numCache>
                <c:formatCode>#,##0</c:formatCode>
                <c:ptCount val="14"/>
                <c:pt idx="0">
                  <c:v>351995.58341899997</c:v>
                </c:pt>
                <c:pt idx="1">
                  <c:v>1259757.1817399999</c:v>
                </c:pt>
                <c:pt idx="2">
                  <c:v>324845.77831999998</c:v>
                </c:pt>
                <c:pt idx="3">
                  <c:v>413178.17230999999</c:v>
                </c:pt>
                <c:pt idx="4">
                  <c:v>391809.14589000004</c:v>
                </c:pt>
                <c:pt idx="5">
                  <c:v>1106454.9802919999</c:v>
                </c:pt>
                <c:pt idx="6">
                  <c:v>622057.23029000009</c:v>
                </c:pt>
                <c:pt idx="7">
                  <c:v>427014.11165700003</c:v>
                </c:pt>
                <c:pt idx="8">
                  <c:v>440124.90480000008</c:v>
                </c:pt>
                <c:pt idx="9">
                  <c:v>971999.90168244089</c:v>
                </c:pt>
                <c:pt idx="10">
                  <c:v>1264624.292886355</c:v>
                </c:pt>
                <c:pt idx="11">
                  <c:v>1449125.419862</c:v>
                </c:pt>
                <c:pt idx="12">
                  <c:v>395651.64451499999</c:v>
                </c:pt>
                <c:pt idx="13">
                  <c:v>489399.09982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063744"/>
        <c:axId val="172073728"/>
      </c:barChart>
      <c:catAx>
        <c:axId val="1720637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073728"/>
        <c:crosses val="autoZero"/>
        <c:auto val="1"/>
        <c:lblAlgn val="ctr"/>
        <c:lblOffset val="100"/>
        <c:noMultiLvlLbl val="0"/>
      </c:catAx>
      <c:valAx>
        <c:axId val="1720737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063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73409358312972"/>
          <c:y val="0.11005524565183827"/>
          <c:w val="0.63800947295381183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'6.10'!$G$7:$G$20</c:f>
              <c:numCache>
                <c:formatCode>#,##0.0</c:formatCode>
                <c:ptCount val="14"/>
                <c:pt idx="0">
                  <c:v>4.5709677419354824</c:v>
                </c:pt>
                <c:pt idx="1">
                  <c:v>7.2451612903225797</c:v>
                </c:pt>
                <c:pt idx="2">
                  <c:v>3.5709677419354842</c:v>
                </c:pt>
                <c:pt idx="3">
                  <c:v>5.0193548387096785</c:v>
                </c:pt>
                <c:pt idx="4">
                  <c:v>5.0322580645161272</c:v>
                </c:pt>
                <c:pt idx="5">
                  <c:v>6.0354838709677425</c:v>
                </c:pt>
                <c:pt idx="6">
                  <c:v>5.9161290322580626</c:v>
                </c:pt>
                <c:pt idx="7">
                  <c:v>5.4806451612903206</c:v>
                </c:pt>
                <c:pt idx="8">
                  <c:v>4.5483870967741931</c:v>
                </c:pt>
                <c:pt idx="9">
                  <c:v>7.0322580645161308</c:v>
                </c:pt>
                <c:pt idx="10">
                  <c:v>5.5967741935483861</c:v>
                </c:pt>
                <c:pt idx="11">
                  <c:v>5.2</c:v>
                </c:pt>
                <c:pt idx="12">
                  <c:v>5.1161290322580637</c:v>
                </c:pt>
                <c:pt idx="13">
                  <c:v>5.8129032258064504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44160"/>
        <c:axId val="172845696"/>
      </c:barChart>
      <c:catAx>
        <c:axId val="1728441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2845696"/>
        <c:crosses val="autoZero"/>
        <c:auto val="1"/>
        <c:lblAlgn val="ctr"/>
        <c:lblOffset val="100"/>
        <c:noMultiLvlLbl val="0"/>
      </c:catAx>
      <c:valAx>
        <c:axId val="172845696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4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03704160804351"/>
          <c:y val="0.11005524565183827"/>
          <c:w val="0.5467811978048198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'6.10'!$A$7:$A$20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'6.10'!$D$7:$D$20</c:f>
              <c:numCache>
                <c:formatCode>#,##0</c:formatCode>
                <c:ptCount val="14"/>
                <c:pt idx="0">
                  <c:v>287634.43402599997</c:v>
                </c:pt>
                <c:pt idx="1">
                  <c:v>934712.02200000011</c:v>
                </c:pt>
                <c:pt idx="2">
                  <c:v>203539.21262999999</c:v>
                </c:pt>
                <c:pt idx="3">
                  <c:v>325108.22678999999</c:v>
                </c:pt>
                <c:pt idx="4">
                  <c:v>308721.56764999998</c:v>
                </c:pt>
                <c:pt idx="5">
                  <c:v>906497.40106499998</c:v>
                </c:pt>
                <c:pt idx="6">
                  <c:v>478867.20264999999</c:v>
                </c:pt>
                <c:pt idx="7">
                  <c:v>348861.78841399995</c:v>
                </c:pt>
                <c:pt idx="8">
                  <c:v>362953.16343999997</c:v>
                </c:pt>
                <c:pt idx="9">
                  <c:v>771748.58741414396</c:v>
                </c:pt>
                <c:pt idx="10">
                  <c:v>1081733.7417068989</c:v>
                </c:pt>
                <c:pt idx="11">
                  <c:v>1067046.2651169999</c:v>
                </c:pt>
                <c:pt idx="12">
                  <c:v>314830.26645899995</c:v>
                </c:pt>
                <c:pt idx="13">
                  <c:v>381682.32306000002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2878080"/>
        <c:axId val="172883968"/>
      </c:barChart>
      <c:catAx>
        <c:axId val="172878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2883968"/>
        <c:crosses val="autoZero"/>
        <c:auto val="1"/>
        <c:lblAlgn val="ctr"/>
        <c:lblOffset val="100"/>
        <c:noMultiLvlLbl val="0"/>
      </c:catAx>
      <c:valAx>
        <c:axId val="172883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2878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56551120765077"/>
          <c:y val="0.11005524565183827"/>
          <c:w val="0.63417805532929072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96B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'6.11'!$G$7:$G$20</c:f>
              <c:numCache>
                <c:formatCode>#,##0.0</c:formatCode>
                <c:ptCount val="14"/>
                <c:pt idx="0">
                  <c:v>1.1319508448540703</c:v>
                </c:pt>
                <c:pt idx="1">
                  <c:v>2.3260368663594471</c:v>
                </c:pt>
                <c:pt idx="2">
                  <c:v>0.26109831029185848</c:v>
                </c:pt>
                <c:pt idx="3">
                  <c:v>0.95756528417818776</c:v>
                </c:pt>
                <c:pt idx="4">
                  <c:v>1.3543010752688165</c:v>
                </c:pt>
                <c:pt idx="5">
                  <c:v>1.3818740399385563</c:v>
                </c:pt>
                <c:pt idx="6">
                  <c:v>1.1621735791090624</c:v>
                </c:pt>
                <c:pt idx="7">
                  <c:v>1.3916282642089088</c:v>
                </c:pt>
                <c:pt idx="8">
                  <c:v>1.3392089093701998</c:v>
                </c:pt>
                <c:pt idx="9">
                  <c:v>2.9319508448540712</c:v>
                </c:pt>
                <c:pt idx="10">
                  <c:v>1.8981950844854067</c:v>
                </c:pt>
                <c:pt idx="11">
                  <c:v>1.3862519201228878</c:v>
                </c:pt>
                <c:pt idx="12">
                  <c:v>0.92722734254992289</c:v>
                </c:pt>
                <c:pt idx="13">
                  <c:v>1.4744623655913973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23616"/>
        <c:axId val="173025152"/>
      </c:barChart>
      <c:catAx>
        <c:axId val="1730236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73025152"/>
        <c:crosses val="autoZero"/>
        <c:auto val="1"/>
        <c:lblAlgn val="ctr"/>
        <c:lblOffset val="100"/>
        <c:noMultiLvlLbl val="0"/>
      </c:catAx>
      <c:valAx>
        <c:axId val="173025152"/>
        <c:scaling>
          <c:orientation val="minMax"/>
        </c:scaling>
        <c:delete val="0"/>
        <c:axPos val="t"/>
        <c:majorGridlines/>
        <c:numFmt formatCode="#,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2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039649824336218"/>
          <c:y val="0.11005524565183827"/>
          <c:w val="0.5384217411695011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cat>
            <c:strRef>
              <c:f>'6.11'!$A$7:$A$20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'6.11'!$D$7:$D$20</c:f>
              <c:numCache>
                <c:formatCode>#,##0</c:formatCode>
                <c:ptCount val="14"/>
                <c:pt idx="0">
                  <c:v>1111025.689949</c:v>
                </c:pt>
                <c:pt idx="1">
                  <c:v>3882871.1448600003</c:v>
                </c:pt>
                <c:pt idx="2">
                  <c:v>982478.72028999997</c:v>
                </c:pt>
                <c:pt idx="3">
                  <c:v>1319279.8150199999</c:v>
                </c:pt>
                <c:pt idx="4">
                  <c:v>1215737.9216499999</c:v>
                </c:pt>
                <c:pt idx="5">
                  <c:v>3435112.5343849999</c:v>
                </c:pt>
                <c:pt idx="6">
                  <c:v>1934640.1620800002</c:v>
                </c:pt>
                <c:pt idx="7">
                  <c:v>1342350.8614840002</c:v>
                </c:pt>
                <c:pt idx="8">
                  <c:v>1370488.2302099997</c:v>
                </c:pt>
                <c:pt idx="9">
                  <c:v>3115337.0247419388</c:v>
                </c:pt>
                <c:pt idx="10">
                  <c:v>4072450.6749679553</c:v>
                </c:pt>
                <c:pt idx="11">
                  <c:v>4452240.7934430009</c:v>
                </c:pt>
                <c:pt idx="12">
                  <c:v>1235252.202146</c:v>
                </c:pt>
                <c:pt idx="13">
                  <c:v>1530362.25012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73049344"/>
        <c:axId val="173050880"/>
      </c:barChart>
      <c:catAx>
        <c:axId val="17304934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73050880"/>
        <c:crosses val="autoZero"/>
        <c:auto val="1"/>
        <c:lblAlgn val="ctr"/>
        <c:lblOffset val="100"/>
        <c:noMultiLvlLbl val="0"/>
      </c:catAx>
      <c:valAx>
        <c:axId val="17305088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73049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90820939049287"/>
          <c:y val="0.27798478959689077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</c:spPr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spPr>
              <a:solidFill>
                <a:srgbClr val="233060"/>
              </a:solidFill>
            </c:spPr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318616943715369"/>
                  <c:y val="9.12064156987488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'4.2'!$B$27:$F$27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'4.2'!$B$28:$F$28</c:f>
              <c:numCache>
                <c:formatCode>#,##0</c:formatCode>
                <c:ptCount val="5"/>
                <c:pt idx="0">
                  <c:v>1502</c:v>
                </c:pt>
                <c:pt idx="1">
                  <c:v>5409</c:v>
                </c:pt>
                <c:pt idx="2">
                  <c:v>200714</c:v>
                </c:pt>
                <c:pt idx="3">
                  <c:v>2487318</c:v>
                </c:pt>
                <c:pt idx="4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3.7516674052107117E-2"/>
          <c:w val="0.65942831101096278"/>
          <c:h val="0.77124177659610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'4.2'!$I$28:$I$31</c:f>
              <c:numCache>
                <c:formatCode>#,##0.0</c:formatCode>
                <c:ptCount val="4"/>
                <c:pt idx="0">
                  <c:v>1156.6794305745989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'4.2'!$J$28:$J$31</c:f>
              <c:numCache>
                <c:formatCode>#,##0.0</c:formatCode>
                <c:ptCount val="4"/>
                <c:pt idx="0">
                  <c:v>272.24245477331402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'4.2'!$K$28:$K$31</c:f>
              <c:numCache>
                <c:formatCode>#,##0.0</c:formatCode>
                <c:ptCount val="4"/>
                <c:pt idx="0">
                  <c:v>493.10785408362494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'4.2'!$L$28:$L$31</c:f>
              <c:numCache>
                <c:formatCode>#,##0.0</c:formatCode>
                <c:ptCount val="4"/>
                <c:pt idx="0">
                  <c:v>888.34277058171006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'4.2'!$H$28:$H$31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'4.2'!$M$28:$M$31</c:f>
              <c:numCache>
                <c:formatCode>#,##0.0</c:formatCode>
                <c:ptCount val="4"/>
                <c:pt idx="0">
                  <c:v>22.059041447949998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34688"/>
        <c:axId val="164436224"/>
      </c:barChart>
      <c:catAx>
        <c:axId val="164434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436224"/>
        <c:crosses val="autoZero"/>
        <c:auto val="1"/>
        <c:lblAlgn val="ctr"/>
        <c:lblOffset val="100"/>
        <c:noMultiLvlLbl val="0"/>
      </c:catAx>
      <c:valAx>
        <c:axId val="16443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34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7641202302644729E-2"/>
          <c:y val="0.91431116564974846"/>
          <c:w val="0.54397829038354595"/>
          <c:h val="8.22561533199307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5.4004377678468912E-2"/>
          <c:w val="0.63799208378695416"/>
          <c:h val="0.759631142240059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rgbClr val="23306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'4.2'!$P$28:$P$31</c:f>
              <c:numCache>
                <c:formatCode>#,##0</c:formatCode>
                <c:ptCount val="4"/>
                <c:pt idx="0">
                  <c:v>12662.524875741999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'4.2'!$Q$27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rgbClr val="596387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'4.2'!$Q$28:$Q$31</c:f>
              <c:numCache>
                <c:formatCode>#,##0</c:formatCode>
                <c:ptCount val="4"/>
                <c:pt idx="0">
                  <c:v>2979.4115129239999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'4.2'!$R$27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9196B0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'4.2'!$R$28:$R$31</c:f>
              <c:numCache>
                <c:formatCode>#,##0</c:formatCode>
                <c:ptCount val="4"/>
                <c:pt idx="0">
                  <c:v>5395.9165278957889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'4.2'!$S$27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rgbClr val="C7CCD6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'4.2'!$S$28:$S$31</c:f>
              <c:numCache>
                <c:formatCode>#,##0</c:formatCode>
                <c:ptCount val="4"/>
                <c:pt idx="0">
                  <c:v>9720.3815141681062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'4.2'!$T$27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'4.2'!$O$28:$O$31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'4.2'!$T$28:$T$31</c:f>
              <c:numCache>
                <c:formatCode>#,##0</c:formatCode>
                <c:ptCount val="4"/>
                <c:pt idx="0">
                  <c:v>241.39359461700002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486144"/>
        <c:axId val="165020416"/>
      </c:barChart>
      <c:catAx>
        <c:axId val="16448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20416"/>
        <c:crosses val="autoZero"/>
        <c:auto val="1"/>
        <c:lblAlgn val="ctr"/>
        <c:lblOffset val="100"/>
        <c:noMultiLvlLbl val="0"/>
      </c:catAx>
      <c:valAx>
        <c:axId val="1650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4486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6353287164405642E-3"/>
          <c:y val="0.92082355031032004"/>
          <c:w val="0.51630586449379434"/>
          <c:h val="7.91764143205569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'4.3'!$B$45:$B$47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'4.3'!$C$45:$C$47</c:f>
              <c:numCache>
                <c:formatCode>#,##0</c:formatCode>
                <c:ptCount val="3"/>
                <c:pt idx="0">
                  <c:v>48592.411619481245</c:v>
                </c:pt>
                <c:pt idx="1">
                  <c:v>30144.746740183164</c:v>
                </c:pt>
                <c:pt idx="2">
                  <c:v>39764.649866780041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47680"/>
        <c:axId val="165057664"/>
      </c:barChart>
      <c:catAx>
        <c:axId val="165047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5057664"/>
        <c:crosses val="autoZero"/>
        <c:auto val="1"/>
        <c:lblAlgn val="ctr"/>
        <c:lblOffset val="100"/>
        <c:noMultiLvlLbl val="0"/>
      </c:catAx>
      <c:valAx>
        <c:axId val="165057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47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3306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rgbClr val="596387"/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rgbClr val="F0948F"/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'4.3'!$E$45:$E$47</c:f>
              <c:strCache>
                <c:ptCount val="3"/>
                <c:pt idx="0">
                  <c:v>Max</c:v>
                </c:pt>
                <c:pt idx="1">
                  <c:v>Min</c:v>
                </c:pt>
                <c:pt idx="2">
                  <c:v>Průměr</c:v>
                </c:pt>
              </c:strCache>
            </c:strRef>
          </c:cat>
          <c:val>
            <c:numRef>
              <c:f>'4.3'!$F$45:$F$47</c:f>
              <c:numCache>
                <c:formatCode>#,##0</c:formatCode>
                <c:ptCount val="3"/>
                <c:pt idx="0">
                  <c:v>41722.571835095026</c:v>
                </c:pt>
                <c:pt idx="1">
                  <c:v>21178.234581940837</c:v>
                </c:pt>
                <c:pt idx="2">
                  <c:v>33019.405755049716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5088256"/>
        <c:axId val="165090048"/>
      </c:barChart>
      <c:catAx>
        <c:axId val="165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5090048"/>
        <c:crosses val="autoZero"/>
        <c:auto val="1"/>
        <c:lblAlgn val="ctr"/>
        <c:lblOffset val="100"/>
        <c:noMultiLvlLbl val="0"/>
      </c:catAx>
      <c:valAx>
        <c:axId val="16509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088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image" Target="../media/image9.png"/><Relationship Id="rId4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5" Type="http://schemas.openxmlformats.org/officeDocument/2006/relationships/image" Target="../media/image9.png"/><Relationship Id="rId4" Type="http://schemas.openxmlformats.org/officeDocument/2006/relationships/chart" Target="../charts/chart2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image" Target="../media/image9.png"/><Relationship Id="rId4" Type="http://schemas.openxmlformats.org/officeDocument/2006/relationships/chart" Target="../charts/chart3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image" Target="../media/image9.png"/><Relationship Id="rId4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803850</xdr:colOff>
      <xdr:row>0</xdr:row>
      <xdr:rowOff>810000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9A0E7663-BFC3-4512-9BF3-74A5A5782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242000" cy="81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120650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323850</xdr:colOff>
      <xdr:row>2</xdr:row>
      <xdr:rowOff>123825</xdr:rowOff>
    </xdr:from>
    <xdr:to>
      <xdr:col>2</xdr:col>
      <xdr:colOff>294586</xdr:colOff>
      <xdr:row>3</xdr:row>
      <xdr:rowOff>561975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E9B2BDA4-8585-4555-B95B-A95B4D89C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28625"/>
          <a:ext cx="856561" cy="628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37</xdr:row>
      <xdr:rowOff>47625</xdr:rowOff>
    </xdr:from>
    <xdr:to>
      <xdr:col>6</xdr:col>
      <xdr:colOff>295275</xdr:colOff>
      <xdr:row>50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50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304800</xdr:colOff>
      <xdr:row>2</xdr:row>
      <xdr:rowOff>123825</xdr:rowOff>
    </xdr:from>
    <xdr:to>
      <xdr:col>2</xdr:col>
      <xdr:colOff>304800</xdr:colOff>
      <xdr:row>3</xdr:row>
      <xdr:rowOff>583568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FF69A7B-4C4B-40B4-A090-21957D007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4800" y="428625"/>
          <a:ext cx="885825" cy="650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28575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228600</xdr:colOff>
      <xdr:row>48</xdr:row>
      <xdr:rowOff>142875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5029201" y="9496426"/>
          <a:ext cx="628649" cy="190499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142875</xdr:colOff>
      <xdr:row>34</xdr:row>
      <xdr:rowOff>38100</xdr:rowOff>
    </xdr:from>
    <xdr:to>
      <xdr:col>4</xdr:col>
      <xdr:colOff>57152</xdr:colOff>
      <xdr:row>48</xdr:row>
      <xdr:rowOff>152399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4</xdr:row>
      <xdr:rowOff>266700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861522BB-9151-4AC6-815E-453AC84D1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85725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247650</xdr:colOff>
      <xdr:row>48</xdr:row>
      <xdr:rowOff>142875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5029201" y="9496426"/>
          <a:ext cx="647699" cy="190499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57150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5</xdr:row>
      <xdr:rowOff>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2FB9605B-7594-4E55-A153-435C1B672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9526</xdr:rowOff>
    </xdr:from>
    <xdr:to>
      <xdr:col>5</xdr:col>
      <xdr:colOff>114300</xdr:colOff>
      <xdr:row>29</xdr:row>
      <xdr:rowOff>28576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19050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257175</xdr:colOff>
      <xdr:row>48</xdr:row>
      <xdr:rowOff>133350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5029201" y="9496426"/>
          <a:ext cx="657224" cy="180974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47625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5</xdr:row>
      <xdr:rowOff>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F9BC3F8-C1D6-4B8C-ADD8-A361E16D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0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17</xdr:row>
      <xdr:rowOff>38100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34</xdr:row>
      <xdr:rowOff>66675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276225</xdr:colOff>
      <xdr:row>48</xdr:row>
      <xdr:rowOff>133350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5029201" y="9496426"/>
          <a:ext cx="676274" cy="180974"/>
        </a:xfrm>
        <a:prstGeom prst="rect">
          <a:avLst/>
        </a:prstGeom>
        <a:solidFill>
          <a:srgbClr val="233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rgbClr val="C7CCD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Minimum</a:t>
          </a:r>
        </a:p>
      </xdr:txBody>
    </xdr:sp>
    <xdr:clientData/>
  </xdr:twoCellAnchor>
  <xdr:twoCellAnchor>
    <xdr:from>
      <xdr:col>0</xdr:col>
      <xdr:colOff>247650</xdr:colOff>
      <xdr:row>34</xdr:row>
      <xdr:rowOff>38100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38100</xdr:colOff>
      <xdr:row>3</xdr:row>
      <xdr:rowOff>38100</xdr:rowOff>
    </xdr:from>
    <xdr:to>
      <xdr:col>0</xdr:col>
      <xdr:colOff>955524</xdr:colOff>
      <xdr:row>4</xdr:row>
      <xdr:rowOff>266700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7B71FD72-FE0B-41A4-B80F-24DBEE0F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81025"/>
          <a:ext cx="9174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142875</xdr:rowOff>
    </xdr:from>
    <xdr:to>
      <xdr:col>10</xdr:col>
      <xdr:colOff>514350</xdr:colOff>
      <xdr:row>51</xdr:row>
      <xdr:rowOff>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</xdr:colOff>
      <xdr:row>3</xdr:row>
      <xdr:rowOff>457200</xdr:rowOff>
    </xdr:from>
    <xdr:to>
      <xdr:col>0</xdr:col>
      <xdr:colOff>621141</xdr:colOff>
      <xdr:row>3</xdr:row>
      <xdr:rowOff>819150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65A67E7-25ED-4296-A573-D4C3533EC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09650"/>
          <a:ext cx="611616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DD8DFCA-E82F-41D8-A381-19E5A72BA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D07F0B3E-169F-4537-9F96-F049448E9B4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35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06C6586-9FAF-4817-8031-B05116C8F8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673EDCB-75E3-4F3B-BB02-5BA3B0C555A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0B09FD-1449-4C7A-B229-FE5161C0E3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E987EE-9B6D-4116-94DD-D57C37C43C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3</xdr:row>
      <xdr:rowOff>0</xdr:rowOff>
    </xdr:from>
    <xdr:to>
      <xdr:col>2</xdr:col>
      <xdr:colOff>562645</xdr:colOff>
      <xdr:row>4</xdr:row>
      <xdr:rowOff>224567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A8F6B51-CF59-4EAA-97E8-5C6B34695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00" y="561975"/>
          <a:ext cx="629320" cy="472217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2F6A0A5-6A79-40E3-8C88-7D3D2D3B3A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54878A7-DCE0-436D-8028-DA1754B454D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31EF213-6A00-47A5-B2D1-727FB9F552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1ADB51C-49D1-44A8-B337-9B8FC24F5E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11E01AE-7DD8-4700-8982-312544949A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E5F0081-9F62-4837-A907-02B4B807B19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553720</xdr:colOff>
      <xdr:row>7</xdr:row>
      <xdr:rowOff>74930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4F0F9BD-7560-4F1F-8688-41811DE6FA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</xdr:col>
      <xdr:colOff>553720</xdr:colOff>
      <xdr:row>37</xdr:row>
      <xdr:rowOff>74930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3617210-72F0-49B8-9D80-B4BC7EF57C9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439545" cy="1017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30</xdr:row>
      <xdr:rowOff>19050</xdr:rowOff>
    </xdr:from>
    <xdr:to>
      <xdr:col>4</xdr:col>
      <xdr:colOff>85726</xdr:colOff>
      <xdr:row>48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DDB014C-3084-4834-A9A1-0C3CADB08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52450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346721-374F-4FC6-81DE-B331FE4F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EAEC643-C980-4362-944D-F20F51F41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30</xdr:row>
      <xdr:rowOff>38101</xdr:rowOff>
    </xdr:from>
    <xdr:to>
      <xdr:col>10</xdr:col>
      <xdr:colOff>419101</xdr:colOff>
      <xdr:row>48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19050</xdr:rowOff>
    </xdr:from>
    <xdr:to>
      <xdr:col>4</xdr:col>
      <xdr:colOff>85725</xdr:colOff>
      <xdr:row>48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142875</xdr:colOff>
      <xdr:row>5</xdr:row>
      <xdr:rowOff>25650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D4A0FEE-D3B4-4739-A6DF-7E809BD4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523875"/>
          <a:ext cx="1228725" cy="90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19049</xdr:rowOff>
    </xdr:from>
    <xdr:to>
      <xdr:col>1</xdr:col>
      <xdr:colOff>189265</xdr:colOff>
      <xdr:row>3</xdr:row>
      <xdr:rowOff>549524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847E974-281E-441B-9F27-C60104D00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29</xdr:row>
      <xdr:rowOff>19049</xdr:rowOff>
    </xdr:from>
    <xdr:ext cx="722665" cy="530475"/>
    <xdr:pic>
      <xdr:nvPicPr>
        <xdr:cNvPr id="6" name="Obrázek 5">
          <a:extLst>
            <a:ext uri="{FF2B5EF4-FFF2-40B4-BE49-F238E27FC236}">
              <a16:creationId xmlns:a16="http://schemas.microsoft.com/office/drawing/2014/main" id="{B6158311-4EF9-4A85-B6CF-CE21169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761999"/>
          <a:ext cx="722665" cy="53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114300</xdr:rowOff>
    </xdr:from>
    <xdr:to>
      <xdr:col>20</xdr:col>
      <xdr:colOff>220899</xdr:colOff>
      <xdr:row>39</xdr:row>
      <xdr:rowOff>142875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4B5CB82-4300-4BB6-A464-FCF52450A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6516924" cy="6448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26</xdr:row>
      <xdr:rowOff>26670</xdr:rowOff>
    </xdr:from>
    <xdr:to>
      <xdr:col>9</xdr:col>
      <xdr:colOff>26671</xdr:colOff>
      <xdr:row>46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26</xdr:row>
      <xdr:rowOff>22859</xdr:rowOff>
    </xdr:from>
    <xdr:to>
      <xdr:col>18</xdr:col>
      <xdr:colOff>472441</xdr:colOff>
      <xdr:row>46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27</xdr:row>
      <xdr:rowOff>17463</xdr:rowOff>
    </xdr:from>
    <xdr:to>
      <xdr:col>8</xdr:col>
      <xdr:colOff>457201</xdr:colOff>
      <xdr:row>44</xdr:row>
      <xdr:rowOff>88900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27</xdr:row>
      <xdr:rowOff>17462</xdr:rowOff>
    </xdr:from>
    <xdr:to>
      <xdr:col>19</xdr:col>
      <xdr:colOff>380999</xdr:colOff>
      <xdr:row>44</xdr:row>
      <xdr:rowOff>107950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26</xdr:row>
      <xdr:rowOff>9525</xdr:rowOff>
    </xdr:from>
    <xdr:to>
      <xdr:col>6</xdr:col>
      <xdr:colOff>266700</xdr:colOff>
      <xdr:row>40</xdr:row>
      <xdr:rowOff>107950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26</xdr:row>
      <xdr:rowOff>47625</xdr:rowOff>
    </xdr:from>
    <xdr:to>
      <xdr:col>13</xdr:col>
      <xdr:colOff>285751</xdr:colOff>
      <xdr:row>40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26</xdr:row>
      <xdr:rowOff>19049</xdr:rowOff>
    </xdr:from>
    <xdr:to>
      <xdr:col>20</xdr:col>
      <xdr:colOff>476250</xdr:colOff>
      <xdr:row>40</xdr:row>
      <xdr:rowOff>88900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42</xdr:row>
      <xdr:rowOff>47625</xdr:rowOff>
    </xdr:from>
    <xdr:to>
      <xdr:col>3</xdr:col>
      <xdr:colOff>523874</xdr:colOff>
      <xdr:row>51</xdr:row>
      <xdr:rowOff>66675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42</xdr:row>
      <xdr:rowOff>38100</xdr:rowOff>
    </xdr:from>
    <xdr:to>
      <xdr:col>6</xdr:col>
      <xdr:colOff>495300</xdr:colOff>
      <xdr:row>51</xdr:row>
      <xdr:rowOff>66675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57150</xdr:colOff>
      <xdr:row>42</xdr:row>
      <xdr:rowOff>38099</xdr:rowOff>
    </xdr:from>
    <xdr:to>
      <xdr:col>9</xdr:col>
      <xdr:colOff>485775</xdr:colOff>
      <xdr:row>51</xdr:row>
      <xdr:rowOff>66674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57150</xdr:rowOff>
    </xdr:from>
    <xdr:to>
      <xdr:col>6</xdr:col>
      <xdr:colOff>295275</xdr:colOff>
      <xdr:row>52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47626</xdr:rowOff>
    </xdr:from>
    <xdr:to>
      <xdr:col>10</xdr:col>
      <xdr:colOff>228600</xdr:colOff>
      <xdr:row>52</xdr:row>
      <xdr:rowOff>152400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333375</xdr:colOff>
      <xdr:row>3</xdr:row>
      <xdr:rowOff>161925</xdr:rowOff>
    </xdr:from>
    <xdr:to>
      <xdr:col>2</xdr:col>
      <xdr:colOff>303862</xdr:colOff>
      <xdr:row>4</xdr:row>
      <xdr:rowOff>600075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CA5F219-B358-4BE5-89F0-6C82426C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3375" y="723900"/>
          <a:ext cx="856312" cy="628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28576</xdr:rowOff>
    </xdr:from>
    <xdr:to>
      <xdr:col>6</xdr:col>
      <xdr:colOff>247650</xdr:colOff>
      <xdr:row>52</xdr:row>
      <xdr:rowOff>158750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85726</xdr:colOff>
      <xdr:row>37</xdr:row>
      <xdr:rowOff>57151</xdr:rowOff>
    </xdr:from>
    <xdr:to>
      <xdr:col>10</xdr:col>
      <xdr:colOff>19050</xdr:colOff>
      <xdr:row>52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239378</xdr:colOff>
      <xdr:row>4</xdr:row>
      <xdr:rowOff>202531</xdr:rowOff>
    </xdr:from>
    <xdr:to>
      <xdr:col>2</xdr:col>
      <xdr:colOff>53640</xdr:colOff>
      <xdr:row>4</xdr:row>
      <xdr:rowOff>254167</xdr:rowOff>
    </xdr:to>
    <xdr:sp macro="" textlink="">
      <xdr:nvSpPr>
        <xdr:cNvPr id="12" name="Volný tvar: obrazec 11">
          <a:extLst>
            <a:ext uri="{FF2B5EF4-FFF2-40B4-BE49-F238E27FC236}">
              <a16:creationId xmlns:a16="http://schemas.microsoft.com/office/drawing/2014/main" id="{DB01A8B9-E390-4F63-A3F6-B16E7BA119F9}"/>
            </a:ext>
          </a:extLst>
        </xdr:cNvPr>
        <xdr:cNvSpPr/>
      </xdr:nvSpPr>
      <xdr:spPr>
        <a:xfrm>
          <a:off x="868028" y="955006"/>
          <a:ext cx="71437" cy="51636"/>
        </a:xfrm>
        <a:custGeom>
          <a:avLst/>
          <a:gdLst>
            <a:gd name="connsiteX0" fmla="*/ 0 w 3305175"/>
            <a:gd name="connsiteY0" fmla="*/ 771525 h 2552700"/>
            <a:gd name="connsiteX1" fmla="*/ 514350 w 3305175"/>
            <a:gd name="connsiteY1" fmla="*/ 514350 h 2552700"/>
            <a:gd name="connsiteX2" fmla="*/ 647700 w 3305175"/>
            <a:gd name="connsiteY2" fmla="*/ 647700 h 2552700"/>
            <a:gd name="connsiteX3" fmla="*/ 904875 w 3305175"/>
            <a:gd name="connsiteY3" fmla="*/ 628650 h 2552700"/>
            <a:gd name="connsiteX4" fmla="*/ 933450 w 3305175"/>
            <a:gd name="connsiteY4" fmla="*/ 342900 h 2552700"/>
            <a:gd name="connsiteX5" fmla="*/ 1066800 w 3305175"/>
            <a:gd name="connsiteY5" fmla="*/ 314325 h 2552700"/>
            <a:gd name="connsiteX6" fmla="*/ 1123950 w 3305175"/>
            <a:gd name="connsiteY6" fmla="*/ 381000 h 2552700"/>
            <a:gd name="connsiteX7" fmla="*/ 1781175 w 3305175"/>
            <a:gd name="connsiteY7" fmla="*/ 28575 h 2552700"/>
            <a:gd name="connsiteX8" fmla="*/ 2085975 w 3305175"/>
            <a:gd name="connsiteY8" fmla="*/ 0 h 2552700"/>
            <a:gd name="connsiteX9" fmla="*/ 2447925 w 3305175"/>
            <a:gd name="connsiteY9" fmla="*/ 285750 h 2552700"/>
            <a:gd name="connsiteX10" fmla="*/ 2600325 w 3305175"/>
            <a:gd name="connsiteY10" fmla="*/ 533400 h 2552700"/>
            <a:gd name="connsiteX11" fmla="*/ 2933700 w 3305175"/>
            <a:gd name="connsiteY11" fmla="*/ 581025 h 2552700"/>
            <a:gd name="connsiteX12" fmla="*/ 3305175 w 3305175"/>
            <a:gd name="connsiteY12" fmla="*/ 1038225 h 2552700"/>
            <a:gd name="connsiteX13" fmla="*/ 2867025 w 3305175"/>
            <a:gd name="connsiteY13" fmla="*/ 1295400 h 2552700"/>
            <a:gd name="connsiteX14" fmla="*/ 3067050 w 3305175"/>
            <a:gd name="connsiteY14" fmla="*/ 1752600 h 2552700"/>
            <a:gd name="connsiteX15" fmla="*/ 2847975 w 3305175"/>
            <a:gd name="connsiteY15" fmla="*/ 1981200 h 2552700"/>
            <a:gd name="connsiteX16" fmla="*/ 2371725 w 3305175"/>
            <a:gd name="connsiteY16" fmla="*/ 1781175 h 2552700"/>
            <a:gd name="connsiteX17" fmla="*/ 1400175 w 3305175"/>
            <a:gd name="connsiteY17" fmla="*/ 2295525 h 2552700"/>
            <a:gd name="connsiteX18" fmla="*/ 1143000 w 3305175"/>
            <a:gd name="connsiteY18" fmla="*/ 2228850 h 2552700"/>
            <a:gd name="connsiteX19" fmla="*/ 1143000 w 3305175"/>
            <a:gd name="connsiteY19" fmla="*/ 2552700 h 2552700"/>
            <a:gd name="connsiteX20" fmla="*/ 676275 w 3305175"/>
            <a:gd name="connsiteY20" fmla="*/ 2447925 h 2552700"/>
            <a:gd name="connsiteX21" fmla="*/ 571500 w 3305175"/>
            <a:gd name="connsiteY21" fmla="*/ 1771650 h 2552700"/>
            <a:gd name="connsiteX22" fmla="*/ 104775 w 3305175"/>
            <a:gd name="connsiteY22" fmla="*/ 1333500 h 2552700"/>
            <a:gd name="connsiteX23" fmla="*/ 381000 w 3305175"/>
            <a:gd name="connsiteY23" fmla="*/ 1066800 h 2552700"/>
            <a:gd name="connsiteX24" fmla="*/ 0 w 3305175"/>
            <a:gd name="connsiteY24" fmla="*/ 771525 h 25527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3305175" h="2552700">
              <a:moveTo>
                <a:pt x="0" y="771525"/>
              </a:moveTo>
              <a:lnTo>
                <a:pt x="514350" y="514350"/>
              </a:lnTo>
              <a:lnTo>
                <a:pt x="647700" y="647700"/>
              </a:lnTo>
              <a:lnTo>
                <a:pt x="904875" y="628650"/>
              </a:lnTo>
              <a:lnTo>
                <a:pt x="933450" y="342900"/>
              </a:lnTo>
              <a:lnTo>
                <a:pt x="1066800" y="314325"/>
              </a:lnTo>
              <a:lnTo>
                <a:pt x="1123950" y="381000"/>
              </a:lnTo>
              <a:lnTo>
                <a:pt x="1781175" y="28575"/>
              </a:lnTo>
              <a:lnTo>
                <a:pt x="2085975" y="0"/>
              </a:lnTo>
              <a:lnTo>
                <a:pt x="2447925" y="285750"/>
              </a:lnTo>
              <a:lnTo>
                <a:pt x="2600325" y="533400"/>
              </a:lnTo>
              <a:lnTo>
                <a:pt x="2933700" y="581025"/>
              </a:lnTo>
              <a:lnTo>
                <a:pt x="3305175" y="1038225"/>
              </a:lnTo>
              <a:lnTo>
                <a:pt x="2867025" y="1295400"/>
              </a:lnTo>
              <a:lnTo>
                <a:pt x="3067050" y="1752600"/>
              </a:lnTo>
              <a:lnTo>
                <a:pt x="2847975" y="1981200"/>
              </a:lnTo>
              <a:lnTo>
                <a:pt x="2371725" y="1781175"/>
              </a:lnTo>
              <a:lnTo>
                <a:pt x="1400175" y="2295525"/>
              </a:lnTo>
              <a:lnTo>
                <a:pt x="1143000" y="2228850"/>
              </a:lnTo>
              <a:lnTo>
                <a:pt x="1143000" y="2552700"/>
              </a:lnTo>
              <a:lnTo>
                <a:pt x="676275" y="2447925"/>
              </a:lnTo>
              <a:lnTo>
                <a:pt x="571500" y="1771650"/>
              </a:lnTo>
              <a:lnTo>
                <a:pt x="104775" y="1333500"/>
              </a:lnTo>
              <a:lnTo>
                <a:pt x="381000" y="1066800"/>
              </a:lnTo>
              <a:lnTo>
                <a:pt x="0" y="771525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 editAs="oneCell">
    <xdr:from>
      <xdr:col>0</xdr:col>
      <xdr:colOff>323850</xdr:colOff>
      <xdr:row>3</xdr:row>
      <xdr:rowOff>28575</xdr:rowOff>
    </xdr:from>
    <xdr:to>
      <xdr:col>2</xdr:col>
      <xdr:colOff>295275</xdr:colOff>
      <xdr:row>4</xdr:row>
      <xdr:rowOff>28423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A9C67806-0819-47C3-91A3-A85E2A7CC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3850" y="495300"/>
          <a:ext cx="857250" cy="62849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37</xdr:row>
      <xdr:rowOff>66675</xdr:rowOff>
    </xdr:from>
    <xdr:to>
      <xdr:col>10</xdr:col>
      <xdr:colOff>228600</xdr:colOff>
      <xdr:row>52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37</xdr:row>
      <xdr:rowOff>47625</xdr:rowOff>
    </xdr:from>
    <xdr:to>
      <xdr:col>6</xdr:col>
      <xdr:colOff>295275</xdr:colOff>
      <xdr:row>52</xdr:row>
      <xdr:rowOff>146050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314326</xdr:colOff>
      <xdr:row>2</xdr:row>
      <xdr:rowOff>142876</xdr:rowOff>
    </xdr:from>
    <xdr:to>
      <xdr:col>2</xdr:col>
      <xdr:colOff>286697</xdr:colOff>
      <xdr:row>3</xdr:row>
      <xdr:rowOff>581026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8B611F01-5990-4EE6-985D-4D5B1F8E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4326" y="447676"/>
          <a:ext cx="858196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9B63-A2C2-4A49-B656-07B7C934A668}">
  <dimension ref="A1:K49"/>
  <sheetViews>
    <sheetView showGridLines="0" tabSelected="1" showWhiteSpace="0" zoomScaleNormal="100" zoomScaleSheetLayoutView="70" zoomScalePageLayoutView="70" workbookViewId="0">
      <selection activeCell="C1" sqref="C1"/>
    </sheetView>
  </sheetViews>
  <sheetFormatPr defaultColWidth="9.140625" defaultRowHeight="12.75"/>
  <cols>
    <col min="1" max="1" width="6.5703125" style="117" customWidth="1"/>
    <col min="2" max="2" width="83" style="117" customWidth="1"/>
    <col min="3" max="9" width="9.85546875" style="117" customWidth="1"/>
    <col min="10" max="10" width="10.28515625" style="117" customWidth="1"/>
    <col min="11" max="16384" width="9.140625" style="117"/>
  </cols>
  <sheetData>
    <row r="1" spans="1:11" ht="87" customHeight="1">
      <c r="A1" s="510"/>
      <c r="B1" s="511"/>
    </row>
    <row r="2" spans="1:11" ht="265.5" customHeight="1">
      <c r="A2" s="118"/>
      <c r="B2" s="512"/>
      <c r="C2" s="119"/>
      <c r="D2" s="119"/>
      <c r="E2" s="119"/>
      <c r="F2" s="119"/>
      <c r="G2" s="119"/>
      <c r="H2" s="119"/>
      <c r="I2" s="119"/>
      <c r="J2" s="119"/>
      <c r="K2" s="117" t="s">
        <v>245</v>
      </c>
    </row>
    <row r="3" spans="1:11" ht="52.5">
      <c r="B3" s="512" t="s">
        <v>323</v>
      </c>
      <c r="D3" s="120"/>
      <c r="E3" s="121"/>
      <c r="F3" s="121"/>
      <c r="G3" s="121"/>
      <c r="J3" s="122"/>
    </row>
    <row r="4" spans="1:11" ht="6" customHeight="1"/>
    <row r="5" spans="1:11" ht="12" customHeight="1"/>
    <row r="6" spans="1:11" ht="18">
      <c r="B6" s="513" t="s">
        <v>321</v>
      </c>
    </row>
    <row r="7" spans="1:11" ht="6" customHeight="1"/>
    <row r="9" spans="1:11">
      <c r="B9" s="123"/>
      <c r="I9" s="124"/>
    </row>
    <row r="10" spans="1:11">
      <c r="B10" s="125"/>
      <c r="C10" s="126"/>
    </row>
    <row r="11" spans="1:11" ht="303" customHeight="1">
      <c r="B11" s="514" t="s">
        <v>322</v>
      </c>
      <c r="C11" s="126"/>
    </row>
    <row r="12" spans="1:11">
      <c r="B12" s="125"/>
      <c r="C12" s="126"/>
    </row>
    <row r="13" spans="1:11">
      <c r="A13" s="127"/>
      <c r="B13" s="128"/>
      <c r="C13" s="129"/>
      <c r="D13" s="127"/>
      <c r="E13" s="127"/>
      <c r="F13" s="127"/>
      <c r="G13" s="127"/>
      <c r="H13" s="127"/>
      <c r="I13" s="127"/>
      <c r="J13" s="127"/>
    </row>
    <row r="14" spans="1:11">
      <c r="A14" s="127"/>
      <c r="B14" s="128"/>
      <c r="C14" s="129"/>
      <c r="D14" s="127"/>
      <c r="E14" s="127"/>
      <c r="F14" s="127"/>
      <c r="G14" s="127"/>
      <c r="H14" s="127"/>
      <c r="I14" s="127"/>
      <c r="J14" s="127"/>
    </row>
    <row r="15" spans="1:11">
      <c r="A15" s="127"/>
      <c r="B15" s="128"/>
      <c r="C15" s="129"/>
      <c r="D15" s="127"/>
      <c r="E15" s="127"/>
      <c r="F15" s="127"/>
      <c r="G15" s="127"/>
      <c r="H15" s="127"/>
      <c r="I15" s="127"/>
      <c r="J15" s="127"/>
    </row>
    <row r="16" spans="1:11">
      <c r="A16" s="127"/>
      <c r="B16" s="128"/>
      <c r="C16" s="129"/>
      <c r="D16" s="127"/>
      <c r="E16" s="127"/>
      <c r="F16" s="127"/>
      <c r="G16" s="127"/>
      <c r="H16" s="127"/>
      <c r="I16" s="127"/>
      <c r="J16" s="127"/>
    </row>
    <row r="17" spans="1:10">
      <c r="A17" s="127"/>
      <c r="B17" s="128"/>
      <c r="C17" s="129"/>
      <c r="D17" s="127"/>
      <c r="E17" s="127"/>
      <c r="F17" s="127"/>
      <c r="G17" s="127"/>
      <c r="H17" s="127"/>
      <c r="I17" s="127"/>
      <c r="J17" s="127"/>
    </row>
    <row r="18" spans="1:10">
      <c r="A18" s="127"/>
      <c r="B18" s="128"/>
      <c r="C18" s="129"/>
      <c r="D18" s="127"/>
      <c r="E18" s="127"/>
      <c r="F18" s="127"/>
      <c r="G18" s="127"/>
      <c r="H18" s="127"/>
      <c r="I18" s="127"/>
      <c r="J18" s="127"/>
    </row>
    <row r="19" spans="1:10">
      <c r="A19" s="127"/>
      <c r="B19" s="128"/>
      <c r="C19" s="129"/>
      <c r="D19" s="127"/>
      <c r="E19" s="127"/>
      <c r="F19" s="127"/>
      <c r="G19" s="127"/>
      <c r="H19" s="127"/>
      <c r="I19" s="127"/>
      <c r="J19" s="127"/>
    </row>
    <row r="21" spans="1:10">
      <c r="A21" s="127"/>
      <c r="B21" s="128"/>
      <c r="C21" s="129"/>
      <c r="D21" s="127"/>
      <c r="E21" s="127"/>
      <c r="F21" s="127"/>
      <c r="G21" s="127"/>
      <c r="H21" s="127"/>
      <c r="I21" s="127"/>
      <c r="J21" s="127"/>
    </row>
    <row r="22" spans="1:10">
      <c r="A22" s="127"/>
      <c r="B22" s="128"/>
      <c r="C22" s="129"/>
      <c r="D22" s="127"/>
      <c r="E22" s="127"/>
      <c r="F22" s="127"/>
      <c r="G22" s="127"/>
      <c r="H22" s="127"/>
      <c r="I22" s="127"/>
      <c r="J22" s="127"/>
    </row>
    <row r="23" spans="1:10">
      <c r="A23" s="127"/>
      <c r="B23" s="128"/>
      <c r="C23" s="129"/>
      <c r="D23" s="127"/>
      <c r="E23" s="127"/>
      <c r="F23" s="127"/>
      <c r="G23" s="127"/>
      <c r="H23" s="127"/>
      <c r="I23" s="127"/>
      <c r="J23" s="127"/>
    </row>
    <row r="25" spans="1:10">
      <c r="A25" s="127"/>
      <c r="C25" s="129"/>
      <c r="D25" s="127"/>
      <c r="E25" s="127"/>
      <c r="F25" s="127"/>
      <c r="G25" s="127"/>
      <c r="H25" s="127"/>
      <c r="I25" s="127"/>
      <c r="J25" s="127"/>
    </row>
    <row r="26" spans="1:10">
      <c r="A26" s="127"/>
      <c r="C26" s="129"/>
      <c r="D26" s="127"/>
      <c r="E26" s="127"/>
      <c r="F26" s="127"/>
      <c r="G26" s="127"/>
      <c r="H26" s="127"/>
      <c r="I26" s="127"/>
      <c r="J26" s="127"/>
    </row>
    <row r="27" spans="1:10">
      <c r="A27" s="127"/>
      <c r="C27" s="129"/>
      <c r="D27" s="127"/>
      <c r="E27" s="127"/>
      <c r="F27" s="127"/>
      <c r="G27" s="127"/>
      <c r="H27" s="127"/>
      <c r="I27" s="127"/>
      <c r="J27" s="127"/>
    </row>
    <row r="28" spans="1:10">
      <c r="A28" s="515"/>
      <c r="B28" s="515"/>
      <c r="C28" s="515"/>
      <c r="D28" s="515"/>
      <c r="E28" s="515"/>
      <c r="F28" s="515"/>
      <c r="G28" s="515"/>
      <c r="H28" s="515"/>
      <c r="I28" s="515"/>
      <c r="J28" s="515"/>
    </row>
    <row r="29" spans="1:10">
      <c r="A29" s="127"/>
      <c r="B29" s="128"/>
      <c r="C29" s="129"/>
      <c r="D29" s="127"/>
      <c r="E29" s="127"/>
      <c r="F29" s="127"/>
      <c r="G29" s="127"/>
      <c r="H29" s="127"/>
      <c r="I29" s="127"/>
      <c r="J29" s="127"/>
    </row>
    <row r="31" spans="1:10">
      <c r="A31" s="127"/>
      <c r="B31" s="128"/>
      <c r="C31" s="129"/>
      <c r="D31" s="127"/>
      <c r="E31" s="127"/>
      <c r="F31" s="127"/>
      <c r="G31" s="127"/>
      <c r="H31" s="127"/>
      <c r="I31" s="127"/>
      <c r="J31" s="127"/>
    </row>
    <row r="32" spans="1:10">
      <c r="A32" s="127"/>
      <c r="B32" s="128"/>
      <c r="C32" s="129"/>
      <c r="D32" s="127"/>
      <c r="E32" s="127"/>
      <c r="F32" s="127"/>
      <c r="G32" s="127"/>
      <c r="H32" s="127"/>
      <c r="I32" s="127"/>
      <c r="J32" s="127"/>
    </row>
    <row r="33" spans="1:10">
      <c r="A33" s="516"/>
      <c r="B33" s="516"/>
      <c r="C33" s="516"/>
      <c r="D33" s="516"/>
      <c r="E33" s="516"/>
      <c r="F33" s="516"/>
      <c r="G33" s="516"/>
      <c r="H33" s="516"/>
      <c r="I33" s="516"/>
      <c r="J33" s="516"/>
    </row>
    <row r="34" spans="1:10">
      <c r="B34" s="122"/>
      <c r="C34" s="122"/>
      <c r="D34" s="122"/>
      <c r="E34" s="122"/>
      <c r="F34" s="122"/>
      <c r="G34" s="122"/>
      <c r="H34" s="122"/>
      <c r="I34" s="122"/>
      <c r="J34" s="122"/>
    </row>
    <row r="36" spans="1:10">
      <c r="B36" s="125"/>
      <c r="C36" s="126"/>
    </row>
    <row r="38" spans="1:10">
      <c r="B38" s="130"/>
      <c r="C38" s="130"/>
      <c r="D38" s="130"/>
      <c r="E38" s="130"/>
      <c r="F38" s="130"/>
      <c r="G38" s="130"/>
      <c r="H38" s="130"/>
      <c r="I38" s="130"/>
    </row>
    <row r="49" spans="1:10">
      <c r="A49" s="517"/>
      <c r="B49" s="517"/>
      <c r="C49" s="517"/>
      <c r="D49" s="517"/>
      <c r="E49" s="517"/>
      <c r="F49" s="517"/>
      <c r="G49" s="517"/>
      <c r="H49" s="517"/>
      <c r="I49" s="517"/>
      <c r="J49" s="517"/>
    </row>
  </sheetData>
  <pageMargins left="0.59055118110236227" right="0.59055118110236227" top="0.39370078740157483" bottom="0.59055118110236227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5"/>
  <sheetViews>
    <sheetView showGridLines="0" topLeftCell="A11" zoomScaleNormal="100" zoomScaleSheetLayoutView="100" workbookViewId="0">
      <selection activeCell="C1" sqref="C1"/>
    </sheetView>
  </sheetViews>
  <sheetFormatPr defaultColWidth="9.140625" defaultRowHeight="12.75"/>
  <cols>
    <col min="1" max="1" width="18.42578125" style="67" customWidth="1"/>
    <col min="2" max="10" width="9" style="67" customWidth="1"/>
    <col min="11" max="12" width="7.7109375" style="67" customWidth="1"/>
    <col min="13" max="13" width="9.28515625" style="67" bestFit="1" customWidth="1"/>
    <col min="14" max="14" width="9.85546875" style="67" bestFit="1" customWidth="1"/>
    <col min="15" max="16384" width="9.140625" style="67"/>
  </cols>
  <sheetData>
    <row r="1" spans="1:10" ht="18">
      <c r="A1" s="446" t="s">
        <v>282</v>
      </c>
      <c r="B1" s="446"/>
      <c r="C1" s="446"/>
      <c r="D1" s="446"/>
      <c r="E1" s="446"/>
      <c r="F1" s="446"/>
      <c r="G1" s="446"/>
      <c r="H1" s="446"/>
      <c r="I1" s="446"/>
      <c r="J1" s="446"/>
    </row>
    <row r="2" spans="1:10" ht="6" customHeight="1">
      <c r="A2" s="231"/>
      <c r="B2" s="232"/>
      <c r="C2" s="232"/>
      <c r="D2" s="232"/>
      <c r="E2" s="232"/>
      <c r="F2" s="232"/>
      <c r="G2" s="232"/>
      <c r="H2" s="232"/>
      <c r="I2" s="232"/>
      <c r="J2" s="232"/>
    </row>
    <row r="3" spans="1:10" ht="15.75" customHeight="1">
      <c r="A3" s="266">
        <f>'3.1'!A4</f>
        <v>2026</v>
      </c>
      <c r="B3" s="448" t="str">
        <f>'3.1'!D5</f>
        <v>Leden</v>
      </c>
      <c r="C3" s="447"/>
      <c r="D3" s="449"/>
      <c r="E3" s="447" t="str">
        <f>'3.1'!E5</f>
        <v>Únor</v>
      </c>
      <c r="F3" s="447"/>
      <c r="G3" s="447"/>
      <c r="H3" s="448" t="str">
        <f>'3.1'!F5</f>
        <v>Březen</v>
      </c>
      <c r="I3" s="447"/>
      <c r="J3" s="447"/>
    </row>
    <row r="4" spans="1:10" ht="28.5" customHeight="1">
      <c r="A4" s="251"/>
      <c r="B4" s="450" t="s">
        <v>59</v>
      </c>
      <c r="C4" s="451"/>
      <c r="D4" s="202" t="s">
        <v>179</v>
      </c>
      <c r="E4" s="451" t="s">
        <v>59</v>
      </c>
      <c r="F4" s="451"/>
      <c r="G4" s="199" t="s">
        <v>179</v>
      </c>
      <c r="H4" s="450" t="s">
        <v>59</v>
      </c>
      <c r="I4" s="451"/>
      <c r="J4" s="199" t="s">
        <v>179</v>
      </c>
    </row>
    <row r="5" spans="1:10" ht="15" customHeight="1">
      <c r="A5" s="239" t="s">
        <v>172</v>
      </c>
      <c r="B5" s="201" t="s">
        <v>247</v>
      </c>
      <c r="C5" s="199" t="s">
        <v>248</v>
      </c>
      <c r="D5" s="202" t="s">
        <v>218</v>
      </c>
      <c r="E5" s="199" t="s">
        <v>247</v>
      </c>
      <c r="F5" s="199" t="s">
        <v>248</v>
      </c>
      <c r="G5" s="199" t="s">
        <v>218</v>
      </c>
      <c r="H5" s="201" t="s">
        <v>247</v>
      </c>
      <c r="I5" s="199" t="s">
        <v>248</v>
      </c>
      <c r="J5" s="199" t="s">
        <v>218</v>
      </c>
    </row>
    <row r="6" spans="1:10" ht="12.6" customHeight="1">
      <c r="A6" s="135">
        <v>1</v>
      </c>
      <c r="B6" s="136">
        <v>30144.746740183164</v>
      </c>
      <c r="C6" s="137">
        <v>330013.8396056472</v>
      </c>
      <c r="D6" s="245">
        <v>-0.2</v>
      </c>
      <c r="E6" s="137">
        <v>36712.316603099855</v>
      </c>
      <c r="F6" s="137">
        <v>400552.84388106415</v>
      </c>
      <c r="G6" s="233">
        <v>-4.3</v>
      </c>
      <c r="H6" s="136">
        <v>23074.328451947753</v>
      </c>
      <c r="I6" s="137">
        <v>253269.87470854988</v>
      </c>
      <c r="J6" s="233">
        <v>4.4000000000000004</v>
      </c>
    </row>
    <row r="7" spans="1:10" ht="12.6" customHeight="1">
      <c r="A7" s="135">
        <v>2</v>
      </c>
      <c r="B7" s="136">
        <v>32361.353534048649</v>
      </c>
      <c r="C7" s="137">
        <v>354279.85460564721</v>
      </c>
      <c r="D7" s="245">
        <v>-0.5</v>
      </c>
      <c r="E7" s="137">
        <v>41722.571835095026</v>
      </c>
      <c r="F7" s="137">
        <v>455289.94288106414</v>
      </c>
      <c r="G7" s="233">
        <v>-3.2</v>
      </c>
      <c r="H7" s="136">
        <v>27437.744062339691</v>
      </c>
      <c r="I7" s="137">
        <v>301201.67270854994</v>
      </c>
      <c r="J7" s="233">
        <v>3</v>
      </c>
    </row>
    <row r="8" spans="1:10" ht="12.6" customHeight="1">
      <c r="A8" s="135">
        <v>3</v>
      </c>
      <c r="B8" s="136">
        <v>33882.199702641432</v>
      </c>
      <c r="C8" s="137">
        <v>370967.60660564713</v>
      </c>
      <c r="D8" s="245">
        <v>-2</v>
      </c>
      <c r="E8" s="137">
        <v>41240.823419134627</v>
      </c>
      <c r="F8" s="137">
        <v>450046.91188106406</v>
      </c>
      <c r="G8" s="233">
        <v>-1.9</v>
      </c>
      <c r="H8" s="136">
        <v>27346.627609951745</v>
      </c>
      <c r="I8" s="137">
        <v>300212.76470854983</v>
      </c>
      <c r="J8" s="233">
        <v>3.6</v>
      </c>
    </row>
    <row r="9" spans="1:10" ht="12.6" customHeight="1">
      <c r="A9" s="135">
        <v>4</v>
      </c>
      <c r="B9" s="136">
        <v>36696.439925397746</v>
      </c>
      <c r="C9" s="137">
        <v>401779.30460564716</v>
      </c>
      <c r="D9" s="245">
        <v>-3.4</v>
      </c>
      <c r="E9" s="137">
        <v>38330.698844389583</v>
      </c>
      <c r="F9" s="137">
        <v>418292.66888106416</v>
      </c>
      <c r="G9" s="233">
        <v>0.2</v>
      </c>
      <c r="H9" s="136">
        <v>26315.778868819023</v>
      </c>
      <c r="I9" s="137">
        <v>288887.93170854991</v>
      </c>
      <c r="J9" s="233">
        <v>4.7</v>
      </c>
    </row>
    <row r="10" spans="1:10" ht="12.6" customHeight="1">
      <c r="A10" s="135">
        <v>5</v>
      </c>
      <c r="B10" s="136">
        <v>45042.203246704077</v>
      </c>
      <c r="C10" s="137">
        <v>493209.36660564714</v>
      </c>
      <c r="D10" s="245">
        <v>-6.8</v>
      </c>
      <c r="E10" s="137">
        <v>35870.779695627796</v>
      </c>
      <c r="F10" s="137">
        <v>391464.37288106413</v>
      </c>
      <c r="G10" s="233">
        <v>2.4</v>
      </c>
      <c r="H10" s="136">
        <v>25387.416492193544</v>
      </c>
      <c r="I10" s="137">
        <v>278677.5667085498</v>
      </c>
      <c r="J10" s="233">
        <v>4.0999999999999996</v>
      </c>
    </row>
    <row r="11" spans="1:10" ht="12.6" customHeight="1">
      <c r="A11" s="135">
        <v>6</v>
      </c>
      <c r="B11" s="136">
        <v>45012.750797962624</v>
      </c>
      <c r="C11" s="137">
        <v>492864.05260564719</v>
      </c>
      <c r="D11" s="245">
        <v>-7.4</v>
      </c>
      <c r="E11" s="137">
        <v>34620.425986080743</v>
      </c>
      <c r="F11" s="137">
        <v>377860.96788106411</v>
      </c>
      <c r="G11" s="233">
        <v>2.5</v>
      </c>
      <c r="H11" s="136">
        <v>24028.513758886038</v>
      </c>
      <c r="I11" s="137">
        <v>263771.57770854986</v>
      </c>
      <c r="J11" s="233">
        <v>5.4</v>
      </c>
    </row>
    <row r="12" spans="1:10" ht="12.6" customHeight="1">
      <c r="A12" s="135">
        <v>7</v>
      </c>
      <c r="B12" s="136">
        <v>46127.335291118616</v>
      </c>
      <c r="C12" s="137">
        <v>505087.19660564716</v>
      </c>
      <c r="D12" s="245">
        <v>-7.1</v>
      </c>
      <c r="E12" s="137">
        <v>29820.120063086473</v>
      </c>
      <c r="F12" s="137">
        <v>325451.39888106415</v>
      </c>
      <c r="G12" s="233">
        <v>2.7</v>
      </c>
      <c r="H12" s="136">
        <v>20510.207448097743</v>
      </c>
      <c r="I12" s="137">
        <v>225145.73070854985</v>
      </c>
      <c r="J12" s="233">
        <v>6</v>
      </c>
    </row>
    <row r="13" spans="1:10" ht="12.6" customHeight="1">
      <c r="A13" s="135">
        <v>8</v>
      </c>
      <c r="B13" s="136">
        <v>46880.057529002916</v>
      </c>
      <c r="C13" s="137">
        <v>513327.18260564713</v>
      </c>
      <c r="D13" s="245">
        <v>-7.1</v>
      </c>
      <c r="E13" s="137">
        <v>29570.345719315799</v>
      </c>
      <c r="F13" s="137">
        <v>322647.55888106418</v>
      </c>
      <c r="G13" s="233">
        <v>1.8</v>
      </c>
      <c r="H13" s="136">
        <v>20595.602792264846</v>
      </c>
      <c r="I13" s="137">
        <v>226057.63270854985</v>
      </c>
      <c r="J13" s="233">
        <v>6.6</v>
      </c>
    </row>
    <row r="14" spans="1:10" ht="12.6" customHeight="1">
      <c r="A14" s="135">
        <v>9</v>
      </c>
      <c r="B14" s="136">
        <v>44084.289015447379</v>
      </c>
      <c r="C14" s="137">
        <v>482692.29560564726</v>
      </c>
      <c r="D14" s="245">
        <v>-5.4</v>
      </c>
      <c r="E14" s="137">
        <v>36401.574740922406</v>
      </c>
      <c r="F14" s="137">
        <v>397296.27088106412</v>
      </c>
      <c r="G14" s="233">
        <v>0.8</v>
      </c>
      <c r="H14" s="136">
        <v>23276.559148391534</v>
      </c>
      <c r="I14" s="137">
        <v>255523.05670854985</v>
      </c>
      <c r="J14" s="233">
        <v>7.9</v>
      </c>
    </row>
    <row r="15" spans="1:10" ht="12.6" customHeight="1">
      <c r="A15" s="135">
        <v>10</v>
      </c>
      <c r="B15" s="136">
        <v>43093.619643757593</v>
      </c>
      <c r="C15" s="137">
        <v>471877.27260564727</v>
      </c>
      <c r="D15" s="245">
        <v>-7.4</v>
      </c>
      <c r="E15" s="137">
        <v>35409.486301596189</v>
      </c>
      <c r="F15" s="137">
        <v>386476.46888106409</v>
      </c>
      <c r="G15" s="233">
        <v>1.9</v>
      </c>
      <c r="H15" s="136">
        <v>22929.10193408432</v>
      </c>
      <c r="I15" s="137">
        <v>251707.46970854985</v>
      </c>
      <c r="J15" s="233">
        <v>7.9</v>
      </c>
    </row>
    <row r="16" spans="1:10" ht="12.6" customHeight="1">
      <c r="A16" s="135">
        <v>11</v>
      </c>
      <c r="B16" s="136">
        <v>43825.882650832573</v>
      </c>
      <c r="C16" s="137">
        <v>479872.34860564722</v>
      </c>
      <c r="D16" s="245">
        <v>-7.8</v>
      </c>
      <c r="E16" s="137">
        <v>33543.674975908718</v>
      </c>
      <c r="F16" s="137">
        <v>366080.71388106415</v>
      </c>
      <c r="G16" s="233">
        <v>3.6</v>
      </c>
      <c r="H16" s="136">
        <v>21517.908198105775</v>
      </c>
      <c r="I16" s="137">
        <v>236199.16370854987</v>
      </c>
      <c r="J16" s="233">
        <v>8.1999999999999993</v>
      </c>
    </row>
    <row r="17" spans="1:10" ht="12.6" customHeight="1">
      <c r="A17" s="135">
        <v>12</v>
      </c>
      <c r="B17" s="136">
        <v>48592.411619481245</v>
      </c>
      <c r="C17" s="137">
        <v>532072.74660564726</v>
      </c>
      <c r="D17" s="245">
        <v>-7.3</v>
      </c>
      <c r="E17" s="137">
        <v>30286.670239414096</v>
      </c>
      <c r="F17" s="137">
        <v>330532.29288106418</v>
      </c>
      <c r="G17" s="233">
        <v>6</v>
      </c>
      <c r="H17" s="136">
        <v>22310.036601810738</v>
      </c>
      <c r="I17" s="137">
        <v>244892.10170854983</v>
      </c>
      <c r="J17" s="233">
        <v>6.5</v>
      </c>
    </row>
    <row r="18" spans="1:10" ht="12.6" customHeight="1">
      <c r="A18" s="135">
        <v>13</v>
      </c>
      <c r="B18" s="136">
        <v>42779.032995799629</v>
      </c>
      <c r="C18" s="137">
        <v>468423.92960564716</v>
      </c>
      <c r="D18" s="246">
        <v>0.2</v>
      </c>
      <c r="E18" s="137">
        <v>29368.636912451031</v>
      </c>
      <c r="F18" s="137">
        <v>320526.94888106413</v>
      </c>
      <c r="G18" s="234">
        <v>4.3</v>
      </c>
      <c r="H18" s="136">
        <v>20318.034858864874</v>
      </c>
      <c r="I18" s="137">
        <v>223027.78570854984</v>
      </c>
      <c r="J18" s="234">
        <v>7.9</v>
      </c>
    </row>
    <row r="19" spans="1:10" ht="12.6" customHeight="1">
      <c r="A19" s="135">
        <v>14</v>
      </c>
      <c r="B19" s="136">
        <v>40399.190932671161</v>
      </c>
      <c r="C19" s="137">
        <v>442367.73960564716</v>
      </c>
      <c r="D19" s="246">
        <v>1</v>
      </c>
      <c r="E19" s="137">
        <v>30617.461095999846</v>
      </c>
      <c r="F19" s="137">
        <v>334158.63388106413</v>
      </c>
      <c r="G19" s="234">
        <v>0.3</v>
      </c>
      <c r="H19" s="136">
        <v>17757.780211402816</v>
      </c>
      <c r="I19" s="137">
        <v>194941.53070854984</v>
      </c>
      <c r="J19" s="234">
        <v>9.6999999999999993</v>
      </c>
    </row>
    <row r="20" spans="1:10" ht="12.6" customHeight="1">
      <c r="A20" s="135">
        <v>15</v>
      </c>
      <c r="B20" s="136">
        <v>38069.096299582146</v>
      </c>
      <c r="C20" s="137">
        <v>416835.5726056472</v>
      </c>
      <c r="D20" s="246">
        <v>1.1000000000000001</v>
      </c>
      <c r="E20" s="137">
        <v>33087.408232363501</v>
      </c>
      <c r="F20" s="137">
        <v>360965.17788106407</v>
      </c>
      <c r="G20" s="234">
        <v>-4.5999999999999996</v>
      </c>
      <c r="H20" s="136">
        <v>19156.526355218914</v>
      </c>
      <c r="I20" s="137">
        <v>210264.75670854989</v>
      </c>
      <c r="J20" s="234">
        <v>6.2</v>
      </c>
    </row>
    <row r="21" spans="1:10" ht="12.6" customHeight="1">
      <c r="A21" s="135">
        <v>16</v>
      </c>
      <c r="B21" s="136">
        <v>37773.022643195058</v>
      </c>
      <c r="C21" s="137">
        <v>413621.15860564716</v>
      </c>
      <c r="D21" s="246">
        <v>0.3</v>
      </c>
      <c r="E21" s="137">
        <v>40418.326236420944</v>
      </c>
      <c r="F21" s="137">
        <v>441114.12088106415</v>
      </c>
      <c r="G21" s="234">
        <v>-3.3</v>
      </c>
      <c r="H21" s="136">
        <v>25062.473041298425</v>
      </c>
      <c r="I21" s="137">
        <v>275119.86570854986</v>
      </c>
      <c r="J21" s="234">
        <v>4.2</v>
      </c>
    </row>
    <row r="22" spans="1:10" ht="12.6" customHeight="1">
      <c r="A22" s="135">
        <v>17</v>
      </c>
      <c r="B22" s="136">
        <v>34209.608838654</v>
      </c>
      <c r="C22" s="137">
        <v>374610.9646056472</v>
      </c>
      <c r="D22" s="246">
        <v>1.3</v>
      </c>
      <c r="E22" s="137">
        <v>37258.757923731777</v>
      </c>
      <c r="F22" s="137">
        <v>406641.22288106411</v>
      </c>
      <c r="G22" s="234">
        <v>0.3</v>
      </c>
      <c r="H22" s="136">
        <v>26114.126315851005</v>
      </c>
      <c r="I22" s="137">
        <v>286669.47770854988</v>
      </c>
      <c r="J22" s="234">
        <v>3</v>
      </c>
    </row>
    <row r="23" spans="1:10" ht="12.6" customHeight="1">
      <c r="A23" s="135">
        <v>18</v>
      </c>
      <c r="B23" s="136">
        <v>34778.260638072134</v>
      </c>
      <c r="C23" s="235">
        <v>380784.32560564723</v>
      </c>
      <c r="D23" s="247">
        <v>-1</v>
      </c>
      <c r="E23" s="137">
        <v>38028.997942062837</v>
      </c>
      <c r="F23" s="235">
        <v>415045.97588106414</v>
      </c>
      <c r="G23" s="236">
        <v>-0.7</v>
      </c>
      <c r="H23" s="136">
        <v>23540.873475538312</v>
      </c>
      <c r="I23" s="235">
        <v>258412.45070854985</v>
      </c>
      <c r="J23" s="236">
        <v>6.4</v>
      </c>
    </row>
    <row r="24" spans="1:10" ht="12.6" customHeight="1">
      <c r="A24" s="135">
        <v>19</v>
      </c>
      <c r="B24" s="136">
        <v>42602.365813356446</v>
      </c>
      <c r="C24" s="235">
        <v>466489.07560564729</v>
      </c>
      <c r="D24" s="247">
        <v>-4</v>
      </c>
      <c r="E24" s="137">
        <v>38644.840002934994</v>
      </c>
      <c r="F24" s="235">
        <v>421728.94188106415</v>
      </c>
      <c r="G24" s="236">
        <v>-1.9</v>
      </c>
      <c r="H24" s="136">
        <v>24568.043198374027</v>
      </c>
      <c r="I24" s="235">
        <v>269719.75670854986</v>
      </c>
      <c r="J24" s="236">
        <v>5.2</v>
      </c>
    </row>
    <row r="25" spans="1:10" ht="12.6" customHeight="1">
      <c r="A25" s="135">
        <v>20</v>
      </c>
      <c r="B25" s="136">
        <v>44070.964204601696</v>
      </c>
      <c r="C25" s="137">
        <v>482575.34160564723</v>
      </c>
      <c r="D25" s="246">
        <v>-5.3</v>
      </c>
      <c r="E25" s="137">
        <v>37026.078414336662</v>
      </c>
      <c r="F25" s="137">
        <v>404029.66288106411</v>
      </c>
      <c r="G25" s="234">
        <v>-3.6</v>
      </c>
      <c r="H25" s="136">
        <v>22961.891862879205</v>
      </c>
      <c r="I25" s="137">
        <v>252071.38270854985</v>
      </c>
      <c r="J25" s="234">
        <v>5.8</v>
      </c>
    </row>
    <row r="26" spans="1:10" ht="12.6" customHeight="1">
      <c r="A26" s="135">
        <v>21</v>
      </c>
      <c r="B26" s="136">
        <v>44247.892618679769</v>
      </c>
      <c r="C26" s="137">
        <v>484515.17160564719</v>
      </c>
      <c r="D26" s="246">
        <v>-5.4</v>
      </c>
      <c r="E26" s="137">
        <v>30092.593352396143</v>
      </c>
      <c r="F26" s="137">
        <v>328282.41788106418</v>
      </c>
      <c r="G26" s="234">
        <v>1.4</v>
      </c>
      <c r="H26" s="136">
        <v>20499.669215294565</v>
      </c>
      <c r="I26" s="137">
        <v>225003.39470854984</v>
      </c>
      <c r="J26" s="234">
        <v>4.7</v>
      </c>
    </row>
    <row r="27" spans="1:10" ht="12.6" customHeight="1">
      <c r="A27" s="135">
        <v>22</v>
      </c>
      <c r="B27" s="136">
        <v>44410.191947741063</v>
      </c>
      <c r="C27" s="137">
        <v>486293.77960564714</v>
      </c>
      <c r="D27" s="246">
        <v>-5.5</v>
      </c>
      <c r="E27" s="137">
        <v>27206.464821626083</v>
      </c>
      <c r="F27" s="137">
        <v>296795.25388106419</v>
      </c>
      <c r="G27" s="234">
        <v>5.9</v>
      </c>
      <c r="H27" s="136">
        <v>22165.198547847329</v>
      </c>
      <c r="I27" s="137">
        <v>243337.89770854983</v>
      </c>
      <c r="J27" s="234">
        <v>5.3</v>
      </c>
    </row>
    <row r="28" spans="1:10" ht="12.6" customHeight="1">
      <c r="A28" s="135">
        <v>23</v>
      </c>
      <c r="B28" s="243">
        <v>41639.7600961715</v>
      </c>
      <c r="C28" s="237">
        <v>455934.51760564721</v>
      </c>
      <c r="D28" s="245">
        <v>-4</v>
      </c>
      <c r="E28" s="237">
        <v>27210.778046024236</v>
      </c>
      <c r="F28" s="237">
        <v>296868.18988106417</v>
      </c>
      <c r="G28" s="233">
        <v>7</v>
      </c>
      <c r="H28" s="243">
        <v>23585.233731513701</v>
      </c>
      <c r="I28" s="237">
        <v>258916.21170854982</v>
      </c>
      <c r="J28" s="233">
        <v>6</v>
      </c>
    </row>
    <row r="29" spans="1:10" ht="12.6" customHeight="1">
      <c r="A29" s="135">
        <v>24</v>
      </c>
      <c r="B29" s="244">
        <v>36396.390974396629</v>
      </c>
      <c r="C29" s="238">
        <v>398530.27160564723</v>
      </c>
      <c r="D29" s="245">
        <v>-1.7</v>
      </c>
      <c r="E29" s="238">
        <v>30962.818810324428</v>
      </c>
      <c r="F29" s="238">
        <v>337925.71588106418</v>
      </c>
      <c r="G29" s="233">
        <v>4.0999999999999996</v>
      </c>
      <c r="H29" s="244">
        <v>20754.458603758201</v>
      </c>
      <c r="I29" s="238">
        <v>227792.16470854986</v>
      </c>
      <c r="J29" s="233">
        <v>7</v>
      </c>
    </row>
    <row r="30" spans="1:10" ht="12.6" customHeight="1">
      <c r="A30" s="135">
        <v>25</v>
      </c>
      <c r="B30" s="136">
        <v>34057.28336815806</v>
      </c>
      <c r="C30" s="137">
        <v>372904.45960564719</v>
      </c>
      <c r="D30" s="246">
        <v>1.7</v>
      </c>
      <c r="E30" s="137">
        <v>27681.311963805132</v>
      </c>
      <c r="F30" s="137">
        <v>302019.63788106421</v>
      </c>
      <c r="G30" s="234">
        <v>3.6</v>
      </c>
      <c r="H30" s="136">
        <v>21124.623638638794</v>
      </c>
      <c r="I30" s="137">
        <v>231860.06370854986</v>
      </c>
      <c r="J30" s="234">
        <v>7.8</v>
      </c>
    </row>
    <row r="31" spans="1:10" ht="12.6" customHeight="1">
      <c r="A31" s="135">
        <v>26</v>
      </c>
      <c r="B31" s="136">
        <v>37568.584293720582</v>
      </c>
      <c r="C31" s="137">
        <v>411386.0726056472</v>
      </c>
      <c r="D31" s="246">
        <v>1.1000000000000001</v>
      </c>
      <c r="E31" s="137">
        <v>27127.128496676229</v>
      </c>
      <c r="F31" s="137">
        <v>295976.78788106411</v>
      </c>
      <c r="G31" s="234">
        <v>4.0999999999999996</v>
      </c>
      <c r="H31" s="136">
        <v>25534.675827431634</v>
      </c>
      <c r="I31" s="137">
        <v>280290.04070854984</v>
      </c>
      <c r="J31" s="234">
        <v>3</v>
      </c>
    </row>
    <row r="32" spans="1:10" ht="12.6" customHeight="1">
      <c r="A32" s="135">
        <v>27</v>
      </c>
      <c r="B32" s="136">
        <v>38207.980949564218</v>
      </c>
      <c r="C32" s="137">
        <v>418385.17260564718</v>
      </c>
      <c r="D32" s="246">
        <v>-0.1</v>
      </c>
      <c r="E32" s="137">
        <v>25104.035884625919</v>
      </c>
      <c r="F32" s="137">
        <v>273909.0278810641</v>
      </c>
      <c r="G32" s="234">
        <v>5.9</v>
      </c>
      <c r="H32" s="136">
        <v>24829.192152290729</v>
      </c>
      <c r="I32" s="137">
        <v>272522.04270854982</v>
      </c>
      <c r="J32" s="234">
        <v>2.4</v>
      </c>
    </row>
    <row r="33" spans="1:15" ht="12.6" customHeight="1">
      <c r="A33" s="135">
        <v>28</v>
      </c>
      <c r="B33" s="136">
        <v>37181.703602033478</v>
      </c>
      <c r="C33" s="137">
        <v>407123.9156056472</v>
      </c>
      <c r="D33" s="246">
        <v>0.2</v>
      </c>
      <c r="E33" s="137">
        <v>21178.234581940837</v>
      </c>
      <c r="F33" s="137">
        <v>231036.72288106411</v>
      </c>
      <c r="G33" s="234">
        <v>5.6</v>
      </c>
      <c r="H33" s="136">
        <v>21135.585793381219</v>
      </c>
      <c r="I33" s="137">
        <v>231980.72770854988</v>
      </c>
      <c r="J33" s="234">
        <v>3.6</v>
      </c>
    </row>
    <row r="34" spans="1:15" ht="12.6" customHeight="1">
      <c r="A34" s="135">
        <v>29</v>
      </c>
      <c r="B34" s="136">
        <v>37823.523029733216</v>
      </c>
      <c r="C34" s="137">
        <v>414155.09860564722</v>
      </c>
      <c r="D34" s="246">
        <v>-0.5</v>
      </c>
      <c r="E34" s="137"/>
      <c r="F34" s="137"/>
      <c r="G34" s="234"/>
      <c r="H34" s="136">
        <v>23304.044733854484</v>
      </c>
      <c r="I34" s="137">
        <v>255783.51670854987</v>
      </c>
      <c r="J34" s="234">
        <v>3.5</v>
      </c>
    </row>
    <row r="35" spans="1:15" ht="12.6" customHeight="1">
      <c r="A35" s="135">
        <v>30</v>
      </c>
      <c r="B35" s="136">
        <v>35953.490147763325</v>
      </c>
      <c r="C35" s="137">
        <v>393670.5246056472</v>
      </c>
      <c r="D35" s="246">
        <v>-0.7</v>
      </c>
      <c r="E35" s="137"/>
      <c r="F35" s="137"/>
      <c r="G35" s="234"/>
      <c r="H35" s="136">
        <v>25924.544070172087</v>
      </c>
      <c r="I35" s="137">
        <v>284546.62770854984</v>
      </c>
      <c r="J35" s="234">
        <v>3.5</v>
      </c>
    </row>
    <row r="36" spans="1:15" ht="12.6" customHeight="1">
      <c r="A36" s="140">
        <v>31</v>
      </c>
      <c r="B36" s="141">
        <v>34792.512779709185</v>
      </c>
      <c r="C36" s="142">
        <v>380952.05360564729</v>
      </c>
      <c r="D36" s="248">
        <v>-2.5</v>
      </c>
      <c r="E36" s="142"/>
      <c r="F36" s="142"/>
      <c r="G36" s="240"/>
      <c r="H36" s="141">
        <v>27938.887997536829</v>
      </c>
      <c r="I36" s="142">
        <v>306708.74670854979</v>
      </c>
      <c r="J36" s="240">
        <v>3.5</v>
      </c>
    </row>
    <row r="37" spans="1:15" ht="12.6" customHeight="1">
      <c r="A37" s="241" t="s">
        <v>0</v>
      </c>
      <c r="B37" s="150">
        <f>SUM(B6:B36)</f>
        <v>1232704.1458701813</v>
      </c>
      <c r="C37" s="151">
        <f>SUM(C6:C36)</f>
        <v>13497602.212775065</v>
      </c>
      <c r="D37" s="249">
        <f>AVERAGE(D6:D36)</f>
        <v>-2.7806451612903227</v>
      </c>
      <c r="E37" s="151">
        <f>SUM(E6:E36)</f>
        <v>924543.36114139203</v>
      </c>
      <c r="F37" s="151">
        <f>SUM(F6:F36)</f>
        <v>10089016.851669796</v>
      </c>
      <c r="G37" s="242">
        <f>AVERAGE(G6:G36)</f>
        <v>1.4607142857142859</v>
      </c>
      <c r="H37" s="150">
        <f>SUM(H6:H36)</f>
        <v>721005.68899803981</v>
      </c>
      <c r="I37" s="151">
        <f>SUM(I6:I36)</f>
        <v>7914514.9849650469</v>
      </c>
      <c r="J37" s="242">
        <f>AVERAGE(J6:J36)</f>
        <v>5.3870967741935489</v>
      </c>
      <c r="M37" s="35"/>
      <c r="N37" s="35"/>
      <c r="O37" s="68"/>
    </row>
    <row r="38" spans="1:15" ht="12.95" customHeight="1">
      <c r="A38" s="135" t="s">
        <v>173</v>
      </c>
      <c r="B38" s="136">
        <f>MAX(B6:B36)</f>
        <v>48592.411619481245</v>
      </c>
      <c r="C38" s="137">
        <f>MAX(C6:C36)</f>
        <v>532072.74660564726</v>
      </c>
      <c r="D38" s="246">
        <f>VLOOKUP(B38,$B$6:$D$36,3,FALSE)</f>
        <v>-7.3</v>
      </c>
      <c r="E38" s="137">
        <f>MAX(E6:E36)</f>
        <v>41722.571835095026</v>
      </c>
      <c r="F38" s="137">
        <f>MAX(F6:F36)</f>
        <v>455289.94288106414</v>
      </c>
      <c r="G38" s="234">
        <f>VLOOKUP(E38,$E$6:$G$36,3,FALSE)</f>
        <v>-3.2</v>
      </c>
      <c r="H38" s="136">
        <f>MAX(H6:H36)</f>
        <v>27938.887997536829</v>
      </c>
      <c r="I38" s="137">
        <f>MAX(I6:I36)</f>
        <v>306708.74670854979</v>
      </c>
      <c r="J38" s="234">
        <f>VLOOKUP(H38,$H$6:$J$36,3,FALSE)</f>
        <v>3.5</v>
      </c>
    </row>
    <row r="39" spans="1:15" ht="12.95" customHeight="1">
      <c r="A39" s="135" t="s">
        <v>174</v>
      </c>
      <c r="B39" s="136">
        <f>MIN(B6:B36)</f>
        <v>30144.746740183164</v>
      </c>
      <c r="C39" s="137">
        <f>MIN(C6:C36)</f>
        <v>330013.8396056472</v>
      </c>
      <c r="D39" s="246">
        <f>VLOOKUP(B39,$B$6:$D$36,3,FALSE)</f>
        <v>-0.2</v>
      </c>
      <c r="E39" s="137">
        <f>MIN(E6:E36)</f>
        <v>21178.234581940837</v>
      </c>
      <c r="F39" s="137">
        <f>MIN(F6:F36)</f>
        <v>231036.72288106411</v>
      </c>
      <c r="G39" s="234">
        <f>VLOOKUP(E39,$E$6:$G$36,3,FALSE)</f>
        <v>5.6</v>
      </c>
      <c r="H39" s="136">
        <f>MIN(H6:H36)</f>
        <v>17757.780211402816</v>
      </c>
      <c r="I39" s="137">
        <f>MIN(I6:I36)</f>
        <v>194941.53070854984</v>
      </c>
      <c r="J39" s="234">
        <f>VLOOKUP(H39,$H$6:$J$36,3,FALSE)</f>
        <v>9.6999999999999993</v>
      </c>
    </row>
    <row r="40" spans="1:15" ht="12.95" customHeight="1">
      <c r="A40" s="140" t="s">
        <v>175</v>
      </c>
      <c r="B40" s="141">
        <f t="shared" ref="B40:J40" si="0">AVERAGE(B6:B36)</f>
        <v>39764.649866780041</v>
      </c>
      <c r="C40" s="142">
        <f t="shared" si="0"/>
        <v>435406.52299274399</v>
      </c>
      <c r="D40" s="248">
        <f t="shared" si="0"/>
        <v>-2.7806451612903227</v>
      </c>
      <c r="E40" s="142">
        <f t="shared" si="0"/>
        <v>33019.405755049716</v>
      </c>
      <c r="F40" s="142">
        <f>AVERAGE(F6:F36)</f>
        <v>360322.03041677841</v>
      </c>
      <c r="G40" s="240">
        <f>AVERAGE(G6:G36)</f>
        <v>1.4607142857142859</v>
      </c>
      <c r="H40" s="141">
        <f>AVERAGE(H6:H36)</f>
        <v>23258.248032194831</v>
      </c>
      <c r="I40" s="142">
        <f t="shared" si="0"/>
        <v>255306.93499887249</v>
      </c>
      <c r="J40" s="240">
        <f t="shared" si="0"/>
        <v>5.3870967741935489</v>
      </c>
    </row>
    <row r="41" spans="1:15" ht="15" customHeight="1">
      <c r="A41" s="37"/>
      <c r="B41" s="443" t="str">
        <f>B3</f>
        <v>Leden</v>
      </c>
      <c r="C41" s="444"/>
      <c r="D41" s="445"/>
      <c r="E41" s="443" t="str">
        <f>E3</f>
        <v>Únor</v>
      </c>
      <c r="F41" s="444"/>
      <c r="G41" s="445"/>
      <c r="H41" s="443" t="str">
        <f>H3</f>
        <v>Březen</v>
      </c>
      <c r="I41" s="444"/>
      <c r="J41" s="444"/>
    </row>
    <row r="42" spans="1:15" ht="15" customHeight="1">
      <c r="A42" s="37"/>
      <c r="B42" s="265" t="s">
        <v>255</v>
      </c>
      <c r="C42" s="70"/>
      <c r="D42" s="263"/>
      <c r="E42" s="265" t="s">
        <v>255</v>
      </c>
      <c r="F42" s="70"/>
      <c r="G42" s="70"/>
      <c r="H42" s="265" t="s">
        <v>255</v>
      </c>
      <c r="I42" s="70"/>
      <c r="J42" s="70"/>
    </row>
    <row r="43" spans="1:15" ht="21" customHeight="1">
      <c r="A43" s="37"/>
      <c r="B43" s="260"/>
      <c r="C43" s="70"/>
      <c r="D43" s="263"/>
      <c r="E43" s="70"/>
      <c r="F43" s="70"/>
      <c r="G43" s="70"/>
      <c r="H43" s="260"/>
      <c r="I43" s="70"/>
      <c r="J43" s="70"/>
    </row>
    <row r="44" spans="1:15" ht="21" customHeight="1">
      <c r="B44" s="260"/>
      <c r="C44" s="70"/>
      <c r="D44" s="263"/>
      <c r="E44" s="70"/>
      <c r="F44" s="70"/>
      <c r="G44" s="70"/>
      <c r="H44" s="260"/>
      <c r="I44" s="70"/>
      <c r="J44" s="70"/>
    </row>
    <row r="45" spans="1:15" ht="21" customHeight="1">
      <c r="B45" s="261" t="s">
        <v>253</v>
      </c>
      <c r="C45" s="72">
        <f>B38</f>
        <v>48592.411619481245</v>
      </c>
      <c r="D45" s="263"/>
      <c r="E45" s="71" t="s">
        <v>253</v>
      </c>
      <c r="F45" s="72">
        <f>E38</f>
        <v>41722.571835095026</v>
      </c>
      <c r="G45" s="70"/>
      <c r="H45" s="261" t="s">
        <v>253</v>
      </c>
      <c r="I45" s="72">
        <f>H38</f>
        <v>27938.887997536829</v>
      </c>
      <c r="J45" s="70"/>
    </row>
    <row r="46" spans="1:15" ht="21" customHeight="1">
      <c r="B46" s="262" t="s">
        <v>254</v>
      </c>
      <c r="C46" s="72">
        <f t="shared" ref="C46:C47" si="1">B39</f>
        <v>30144.746740183164</v>
      </c>
      <c r="D46" s="263"/>
      <c r="E46" s="73" t="s">
        <v>254</v>
      </c>
      <c r="F46" s="72">
        <f t="shared" ref="F46:F47" si="2">E39</f>
        <v>21178.234581940837</v>
      </c>
      <c r="G46" s="70"/>
      <c r="H46" s="262" t="s">
        <v>254</v>
      </c>
      <c r="I46" s="72">
        <f t="shared" ref="I46:I47" si="3">H39</f>
        <v>17757.780211402816</v>
      </c>
      <c r="J46" s="70"/>
    </row>
    <row r="47" spans="1:15" ht="21" customHeight="1">
      <c r="B47" s="262" t="s">
        <v>61</v>
      </c>
      <c r="C47" s="72">
        <f t="shared" si="1"/>
        <v>39764.649866780041</v>
      </c>
      <c r="D47" s="263"/>
      <c r="E47" s="73" t="s">
        <v>61</v>
      </c>
      <c r="F47" s="72">
        <f t="shared" si="2"/>
        <v>33019.405755049716</v>
      </c>
      <c r="G47" s="70"/>
      <c r="H47" s="262" t="s">
        <v>61</v>
      </c>
      <c r="I47" s="72">
        <f t="shared" si="3"/>
        <v>23258.248032194831</v>
      </c>
      <c r="J47" s="70"/>
    </row>
    <row r="48" spans="1:15" ht="21" customHeight="1">
      <c r="B48" s="260"/>
      <c r="C48" s="70"/>
      <c r="D48" s="263"/>
      <c r="E48" s="70"/>
      <c r="F48" s="70"/>
      <c r="G48" s="70"/>
      <c r="H48" s="260"/>
      <c r="I48" s="70"/>
      <c r="J48" s="70"/>
    </row>
    <row r="49" spans="1:10" ht="21" customHeight="1">
      <c r="B49" s="260"/>
      <c r="C49" s="70"/>
      <c r="D49" s="263"/>
      <c r="E49" s="70"/>
      <c r="F49" s="70"/>
      <c r="G49" s="70"/>
      <c r="H49" s="260"/>
      <c r="I49" s="70"/>
      <c r="J49" s="70"/>
    </row>
    <row r="50" spans="1:10" ht="21" customHeight="1">
      <c r="B50" s="260"/>
      <c r="C50" s="70"/>
      <c r="D50" s="263"/>
      <c r="E50" s="70"/>
      <c r="F50" s="70"/>
      <c r="G50" s="70"/>
      <c r="H50" s="260"/>
      <c r="I50" s="70"/>
      <c r="J50" s="70"/>
    </row>
    <row r="51" spans="1:10" ht="21" customHeight="1">
      <c r="B51" s="352"/>
      <c r="D51" s="353"/>
      <c r="H51" s="352"/>
    </row>
    <row r="52" spans="1:10" ht="12.75" customHeight="1">
      <c r="A52" s="264"/>
      <c r="B52" s="254"/>
      <c r="C52" s="254"/>
      <c r="D52" s="264"/>
      <c r="E52" s="254"/>
      <c r="F52" s="254"/>
      <c r="G52" s="264"/>
      <c r="H52" s="254"/>
      <c r="I52" s="254"/>
      <c r="J52" s="254"/>
    </row>
    <row r="53" spans="1:10" ht="12.95" customHeight="1">
      <c r="A53" s="351" t="s">
        <v>176</v>
      </c>
      <c r="B53" s="256">
        <v>1237.2758864790781</v>
      </c>
      <c r="C53" s="257">
        <v>13547.660887734186</v>
      </c>
      <c r="D53" s="388" t="s">
        <v>200</v>
      </c>
      <c r="E53" s="257">
        <v>1189.0690940412674</v>
      </c>
      <c r="F53" s="257">
        <v>12975.636007782041</v>
      </c>
      <c r="G53" s="391" t="s">
        <v>200</v>
      </c>
      <c r="H53" s="256">
        <v>1046.4142763813952</v>
      </c>
      <c r="I53" s="257">
        <v>11486.54108736779</v>
      </c>
      <c r="J53" s="391" t="s">
        <v>200</v>
      </c>
    </row>
    <row r="54" spans="1:10" ht="12.95" customHeight="1">
      <c r="A54" s="252" t="s">
        <v>177</v>
      </c>
      <c r="B54" s="258">
        <v>38175.974430611997</v>
      </c>
      <c r="C54" s="74">
        <v>418011.18190101255</v>
      </c>
      <c r="D54" s="389">
        <v>0</v>
      </c>
      <c r="E54" s="74">
        <v>36565.131655859259</v>
      </c>
      <c r="F54" s="74">
        <v>399014.52432047838</v>
      </c>
      <c r="G54" s="392">
        <v>0</v>
      </c>
      <c r="H54" s="258">
        <v>29461.810733115351</v>
      </c>
      <c r="I54" s="74">
        <v>323403.74852725939</v>
      </c>
      <c r="J54" s="392">
        <v>0</v>
      </c>
    </row>
    <row r="55" spans="1:10" ht="12.95" customHeight="1">
      <c r="A55" s="253" t="s">
        <v>178</v>
      </c>
      <c r="B55" s="259">
        <v>53023.285068360936</v>
      </c>
      <c r="C55" s="255">
        <v>580583.11255382281</v>
      </c>
      <c r="D55" s="390">
        <v>-12</v>
      </c>
      <c r="E55" s="255">
        <v>50833.960784354473</v>
      </c>
      <c r="F55" s="255">
        <v>554722.15641386283</v>
      </c>
      <c r="G55" s="393">
        <v>-12</v>
      </c>
      <c r="H55" s="259">
        <v>42018.78204969209</v>
      </c>
      <c r="I55" s="255">
        <v>461242.24157567276</v>
      </c>
      <c r="J55" s="393">
        <v>-12</v>
      </c>
    </row>
  </sheetData>
  <mergeCells count="10">
    <mergeCell ref="B41:D41"/>
    <mergeCell ref="E41:G41"/>
    <mergeCell ref="H41:J41"/>
    <mergeCell ref="A1:J1"/>
    <mergeCell ref="E3:G3"/>
    <mergeCell ref="H3:J3"/>
    <mergeCell ref="B3:D3"/>
    <mergeCell ref="B4:C4"/>
    <mergeCell ref="E4:F4"/>
    <mergeCell ref="H4:I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7:D39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3"/>
  <sheetViews>
    <sheetView showGridLines="0" topLeftCell="A19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2" width="9.140625" style="75"/>
    <col min="13" max="13" width="9.140625" style="67"/>
    <col min="14" max="14" width="11.140625" style="67" customWidth="1"/>
    <col min="15" max="16384" width="9.140625" style="67"/>
  </cols>
  <sheetData>
    <row r="1" spans="1:21" ht="20.25">
      <c r="A1" s="47" t="s">
        <v>275</v>
      </c>
    </row>
    <row r="2" spans="1:21" s="76" customFormat="1" ht="18">
      <c r="A2" s="446" t="s">
        <v>283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75"/>
      <c r="M2" s="67"/>
      <c r="N2" s="67"/>
      <c r="O2" s="67"/>
      <c r="P2" s="67"/>
      <c r="Q2" s="67"/>
      <c r="R2" s="67"/>
      <c r="S2" s="67"/>
      <c r="T2" s="67"/>
      <c r="U2" s="67"/>
    </row>
    <row r="3" spans="1:21" ht="6" customHeight="1">
      <c r="A3" s="452"/>
      <c r="B3" s="452"/>
      <c r="C3" s="452"/>
      <c r="D3" s="282"/>
      <c r="E3" s="282"/>
      <c r="F3" s="283"/>
      <c r="G3" s="284"/>
      <c r="H3" s="284"/>
      <c r="I3" s="284"/>
      <c r="J3" s="254"/>
      <c r="K3" s="254"/>
    </row>
    <row r="4" spans="1:21" ht="15" customHeight="1">
      <c r="A4" s="463" t="s">
        <v>2</v>
      </c>
      <c r="B4" s="463"/>
      <c r="C4" s="463"/>
      <c r="D4" s="457">
        <f>'3.1'!A4</f>
        <v>2026</v>
      </c>
      <c r="E4" s="458"/>
      <c r="F4" s="458"/>
      <c r="G4" s="458"/>
      <c r="H4" s="342"/>
      <c r="I4" s="457">
        <f>D4-1</f>
        <v>2025</v>
      </c>
      <c r="J4" s="458"/>
      <c r="K4" s="458"/>
    </row>
    <row r="5" spans="1:21" ht="50.1" customHeight="1">
      <c r="A5" s="289"/>
      <c r="B5" s="289"/>
      <c r="C5" s="289"/>
      <c r="D5" s="459"/>
      <c r="E5" s="460"/>
      <c r="F5" s="460"/>
      <c r="G5" s="460"/>
      <c r="H5" s="155"/>
      <c r="I5" s="459"/>
      <c r="J5" s="460"/>
      <c r="K5" s="460"/>
    </row>
    <row r="6" spans="1:21" ht="24.95" customHeight="1">
      <c r="A6" s="463" t="s">
        <v>155</v>
      </c>
      <c r="B6" s="463"/>
      <c r="C6" s="463" t="s">
        <v>180</v>
      </c>
      <c r="D6" s="461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21" ht="22.5" customHeight="1">
      <c r="A7" s="464"/>
      <c r="B7" s="464"/>
      <c r="C7" s="464"/>
      <c r="D7" s="462"/>
      <c r="E7" s="199" t="s">
        <v>247</v>
      </c>
      <c r="F7" s="199" t="s">
        <v>248</v>
      </c>
      <c r="G7" s="451"/>
      <c r="H7" s="451"/>
      <c r="I7" s="201" t="s">
        <v>247</v>
      </c>
      <c r="J7" s="199" t="s">
        <v>248</v>
      </c>
      <c r="K7" s="451"/>
    </row>
    <row r="8" spans="1:21" ht="12.95" customHeight="1">
      <c r="A8" s="469" t="str">
        <f>'3.1'!D5</f>
        <v>Leden</v>
      </c>
      <c r="B8" s="469"/>
      <c r="C8" s="145" t="s">
        <v>4</v>
      </c>
      <c r="D8" s="279">
        <v>1521</v>
      </c>
      <c r="E8" s="275">
        <v>476919.04661626602</v>
      </c>
      <c r="F8" s="275">
        <v>5223165.5511479992</v>
      </c>
      <c r="G8" s="276">
        <f t="shared" ref="G8:G13" si="0">E8/$E$14</f>
        <v>0.38688849081431709</v>
      </c>
      <c r="H8" s="276">
        <f>(E8-I8)/I8</f>
        <v>0.21736454756907342</v>
      </c>
      <c r="I8" s="279">
        <v>391763.54163476703</v>
      </c>
      <c r="J8" s="275">
        <v>4259765.1817100001</v>
      </c>
      <c r="K8" s="276">
        <f>I8/$I$14</f>
        <v>0.37520817653037952</v>
      </c>
      <c r="M8" s="387">
        <f>D8-'5.2'!D7-'5.3'!D7-'5.4'!D7-'5.5'!D7</f>
        <v>0</v>
      </c>
      <c r="N8" s="387">
        <f>E8-'5.2'!E7-'5.3'!E7-'5.4'!E7-'5.5'!E7</f>
        <v>0</v>
      </c>
      <c r="O8" s="387">
        <f>F8-'5.2'!F7-'5.3'!F7-'5.4'!F7-'5.5'!F7</f>
        <v>0</v>
      </c>
      <c r="P8" s="387"/>
      <c r="Q8" s="387"/>
      <c r="R8" s="387">
        <f>I8-'5.2'!I7-'5.3'!I7-'5.4'!I7-'5.5'!I7</f>
        <v>0</v>
      </c>
      <c r="S8" s="387">
        <f>J8-'5.2'!J7-'5.3'!J7-'5.4'!J7-'5.5'!J7</f>
        <v>0</v>
      </c>
      <c r="T8" s="346"/>
      <c r="U8" s="346"/>
    </row>
    <row r="9" spans="1:21" ht="12.95" customHeight="1">
      <c r="A9" s="470"/>
      <c r="B9" s="470"/>
      <c r="C9" s="135" t="s">
        <v>5</v>
      </c>
      <c r="D9" s="280">
        <v>5610</v>
      </c>
      <c r="E9" s="113">
        <v>117566.306983765</v>
      </c>
      <c r="F9" s="113">
        <v>1287240.3050309999</v>
      </c>
      <c r="G9" s="274">
        <f t="shared" si="0"/>
        <v>9.5372687256416677E-2</v>
      </c>
      <c r="H9" s="274">
        <f t="shared" ref="H9:H12" si="1">(E9-I9)/I9</f>
        <v>0.13574081353088499</v>
      </c>
      <c r="I9" s="280">
        <v>103515.08511723299</v>
      </c>
      <c r="J9" s="113">
        <v>1125926.7913579999</v>
      </c>
      <c r="K9" s="274">
        <f t="shared" ref="K9:K13" si="2">I9/$I$14</f>
        <v>9.9140686160208005E-2</v>
      </c>
      <c r="L9" s="80"/>
      <c r="M9" s="387">
        <f>D9-'5.2'!D8-'5.3'!D8-'5.4'!D8-'5.5'!D8</f>
        <v>0</v>
      </c>
      <c r="N9" s="387">
        <f>E9-'5.2'!E8-'5.3'!E8-'5.4'!E8-'5.5'!E8</f>
        <v>5.1159076974727213E-12</v>
      </c>
      <c r="O9" s="387">
        <f>F9-'5.2'!F8-'5.3'!F8-'5.4'!F8-'5.5'!F8</f>
        <v>-2.2737367544323206E-10</v>
      </c>
      <c r="P9" s="387"/>
      <c r="Q9" s="387"/>
      <c r="R9" s="387">
        <f>I9-'5.2'!I8-'5.3'!I8-'5.4'!I8-'5.5'!I8</f>
        <v>7.716494110354688E-12</v>
      </c>
      <c r="S9" s="387">
        <f>J9-'5.2'!J8-'5.3'!J8-'5.4'!J8-'5.5'!J8</f>
        <v>-8.6401996668428183E-11</v>
      </c>
      <c r="T9" s="346"/>
      <c r="U9" s="346"/>
    </row>
    <row r="10" spans="1:21" ht="12.95" customHeight="1">
      <c r="A10" s="470"/>
      <c r="B10" s="470"/>
      <c r="C10" s="135" t="s">
        <v>6</v>
      </c>
      <c r="D10" s="280">
        <v>200752</v>
      </c>
      <c r="E10" s="113">
        <v>216074.825592707</v>
      </c>
      <c r="F10" s="113">
        <v>2365667.7023519073</v>
      </c>
      <c r="G10" s="274">
        <f t="shared" si="0"/>
        <v>0.17528522664307028</v>
      </c>
      <c r="H10" s="274">
        <f t="shared" si="1"/>
        <v>0.17878681377816527</v>
      </c>
      <c r="I10" s="280">
        <v>183302.71688411498</v>
      </c>
      <c r="J10" s="113">
        <v>1993476.515212561</v>
      </c>
      <c r="K10" s="274">
        <f t="shared" si="2"/>
        <v>0.17555660710069917</v>
      </c>
      <c r="L10" s="80"/>
      <c r="M10" s="387">
        <f>D10-'5.2'!D9-'5.3'!D9-'5.4'!D9-'5.5'!D9</f>
        <v>0</v>
      </c>
      <c r="N10" s="387">
        <f>E10-'5.2'!E9-'5.3'!E9-'5.4'!E9-'5.5'!E9</f>
        <v>1.4438228390645236E-11</v>
      </c>
      <c r="O10" s="387">
        <f>F10-'5.2'!F9-'5.3'!F9-'5.4'!F9-'5.5'!F9</f>
        <v>3.2241587177850306E-10</v>
      </c>
      <c r="P10" s="387"/>
      <c r="Q10" s="387"/>
      <c r="R10" s="387">
        <f>I10-'5.2'!I9-'5.3'!I9-'5.4'!I9-'5.5'!I9</f>
        <v>-1.7053025658242404E-12</v>
      </c>
      <c r="S10" s="387">
        <f>J10-'5.2'!J9-'5.3'!J9-'5.4'!J9-'5.5'!J9</f>
        <v>-7.73070496506989E-12</v>
      </c>
      <c r="T10" s="346"/>
      <c r="U10" s="346"/>
    </row>
    <row r="11" spans="1:21" ht="12.95" customHeight="1">
      <c r="A11" s="470"/>
      <c r="B11" s="470"/>
      <c r="C11" s="135" t="s">
        <v>7</v>
      </c>
      <c r="D11" s="280">
        <v>2492058</v>
      </c>
      <c r="E11" s="113">
        <v>398176.302819631</v>
      </c>
      <c r="F11" s="113">
        <v>4359108.598936148</v>
      </c>
      <c r="G11" s="274">
        <f t="shared" si="0"/>
        <v>0.32301043535353208</v>
      </c>
      <c r="H11" s="274">
        <f t="shared" si="1"/>
        <v>0.18142495592215802</v>
      </c>
      <c r="I11" s="280">
        <v>337030.55011973705</v>
      </c>
      <c r="J11" s="113">
        <v>3664579.686973488</v>
      </c>
      <c r="K11" s="274">
        <f t="shared" si="2"/>
        <v>0.32278812269710921</v>
      </c>
      <c r="L11" s="80"/>
      <c r="M11" s="387">
        <f>D11-'5.2'!D10-'5.3'!D10-'5.4'!D10-'5.5'!D10</f>
        <v>0</v>
      </c>
      <c r="N11" s="387">
        <f>E11-'5.2'!E10-'5.3'!E10-'5.4'!E10-'5.5'!E10</f>
        <v>1.4551915228366852E-11</v>
      </c>
      <c r="O11" s="387">
        <f>F11-'5.2'!F10-'5.3'!F10-'5.4'!F10-'5.5'!F10</f>
        <v>8.7311491370201111E-11</v>
      </c>
      <c r="P11" s="387"/>
      <c r="Q11" s="387"/>
      <c r="R11" s="387">
        <f>I11-'5.2'!I10-'5.3'!I10-'5.4'!I10-'5.5'!I10</f>
        <v>1.8189894035458565E-12</v>
      </c>
      <c r="S11" s="387">
        <f>J11-'5.2'!J10-'5.3'!J10-'5.4'!J10-'5.5'!J10</f>
        <v>-1.1641532182693481E-10</v>
      </c>
      <c r="T11" s="346"/>
      <c r="U11" s="346"/>
    </row>
    <row r="12" spans="1:21" ht="12.95" customHeight="1">
      <c r="A12" s="470"/>
      <c r="B12" s="470"/>
      <c r="C12" s="135" t="s">
        <v>90</v>
      </c>
      <c r="D12" s="280">
        <v>281</v>
      </c>
      <c r="E12" s="113">
        <v>7534.7471755589995</v>
      </c>
      <c r="F12" s="113">
        <v>82472.217973999999</v>
      </c>
      <c r="G12" s="274">
        <f t="shared" si="0"/>
        <v>6.1123727058126588E-3</v>
      </c>
      <c r="H12" s="274">
        <f t="shared" si="1"/>
        <v>-2.2220023536853283E-2</v>
      </c>
      <c r="I12" s="280">
        <v>7705.9741014680003</v>
      </c>
      <c r="J12" s="113">
        <v>83772.774212999997</v>
      </c>
      <c r="K12" s="274">
        <f t="shared" si="2"/>
        <v>7.3803306937062522E-3</v>
      </c>
      <c r="L12" s="80"/>
      <c r="M12" s="387">
        <f>D12-'5.2'!D11-'5.3'!D11-'5.4'!D11-'5.5'!D11</f>
        <v>0</v>
      </c>
      <c r="N12" s="387">
        <f>E12-'5.2'!E11-'5.3'!E11-'5.4'!E11-'5.5'!E11</f>
        <v>-4.9027448767446913E-13</v>
      </c>
      <c r="O12" s="387">
        <f>F12-'5.2'!F11-'5.3'!F11-'5.4'!F11-'5.5'!F11</f>
        <v>-1.517719283583574E-11</v>
      </c>
      <c r="P12" s="387"/>
      <c r="Q12" s="387"/>
      <c r="R12" s="387">
        <f>I12-'5.2'!I11-'5.3'!I11-'5.4'!I11-'5.5'!I11</f>
        <v>3.5527136788005009E-13</v>
      </c>
      <c r="S12" s="387">
        <f>J12-'5.2'!J11-'5.3'!J11-'5.4'!J11-'5.5'!J11</f>
        <v>1.3642420526593924E-12</v>
      </c>
      <c r="T12" s="346"/>
      <c r="U12" s="346"/>
    </row>
    <row r="13" spans="1:21" ht="12.95" customHeight="1">
      <c r="A13" s="470"/>
      <c r="B13" s="470"/>
      <c r="C13" s="135" t="s">
        <v>91</v>
      </c>
      <c r="D13" s="280"/>
      <c r="E13" s="113">
        <v>16432.916682252999</v>
      </c>
      <c r="F13" s="113">
        <v>179947.83733400001</v>
      </c>
      <c r="G13" s="274">
        <f t="shared" si="0"/>
        <v>1.3330787226851422E-2</v>
      </c>
      <c r="H13" s="274">
        <f>(E13-I13)/I13</f>
        <v>-0.21015635201676106</v>
      </c>
      <c r="I13" s="280">
        <v>20805.278011936</v>
      </c>
      <c r="J13" s="113">
        <v>226238.25053800002</v>
      </c>
      <c r="K13" s="274">
        <f t="shared" si="2"/>
        <v>1.9926076817897889E-2</v>
      </c>
      <c r="L13" s="80"/>
      <c r="M13" s="387">
        <f>D13-'5.2'!D12-'5.3'!D12-'5.4'!D12-'5.5'!D12</f>
        <v>0</v>
      </c>
      <c r="N13" s="387">
        <f>E13-'5.2'!E12-'5.3'!E12-'5.4'!E12-'5.5'!E12</f>
        <v>0</v>
      </c>
      <c r="O13" s="387">
        <f>F13-'5.2'!F12-'5.3'!F12-'5.4'!F12-'5.5'!F12</f>
        <v>0</v>
      </c>
      <c r="P13" s="387"/>
      <c r="Q13" s="387"/>
      <c r="R13" s="387">
        <f>I13-'5.2'!I12-'5.3'!I12-'5.4'!I12-'5.5'!I12</f>
        <v>4.0927261579781771E-12</v>
      </c>
      <c r="S13" s="387">
        <f>J13-'5.2'!J12-'5.3'!J12-'5.4'!J12-'5.5'!J12</f>
        <v>0</v>
      </c>
      <c r="T13" s="346"/>
      <c r="U13" s="346"/>
    </row>
    <row r="14" spans="1:21" ht="12.95" customHeight="1">
      <c r="A14" s="471"/>
      <c r="B14" s="471"/>
      <c r="C14" s="285" t="s">
        <v>0</v>
      </c>
      <c r="D14" s="288">
        <v>2700222</v>
      </c>
      <c r="E14" s="286">
        <v>1232704.1458701808</v>
      </c>
      <c r="F14" s="286">
        <v>13497602.212775053</v>
      </c>
      <c r="G14" s="287">
        <f>SUM(G8:G13)</f>
        <v>1.0000000000000002</v>
      </c>
      <c r="H14" s="287">
        <f>(E14-I14)/I14</f>
        <v>0.1806118375471189</v>
      </c>
      <c r="I14" s="288">
        <v>1044123.145869256</v>
      </c>
      <c r="J14" s="286">
        <v>11353759.200005049</v>
      </c>
      <c r="K14" s="287">
        <f>SUM(K8:K13)</f>
        <v>1</v>
      </c>
      <c r="L14" s="80"/>
      <c r="M14" s="387">
        <f>D14-'5.2'!D13-'5.3'!D13-'5.4'!D13-'5.5'!D13</f>
        <v>0</v>
      </c>
      <c r="N14" s="387">
        <f>E14-'5.2'!E13-'5.3'!E13-'5.4'!E13-'5.5'!E13</f>
        <v>-2.0372681319713593E-10</v>
      </c>
      <c r="O14" s="387">
        <f>F14-'5.2'!F13-'5.3'!F13-'5.4'!F13-'5.5'!F13</f>
        <v>-2.4447217583656311E-9</v>
      </c>
      <c r="P14" s="387"/>
      <c r="Q14" s="387"/>
      <c r="R14" s="387">
        <f>I14-'5.2'!I13-'5.3'!I13-'5.4'!I13-'5.5'!I13</f>
        <v>-1.2369127944111824E-10</v>
      </c>
      <c r="S14" s="387">
        <f>J14-'5.2'!J13-'5.3'!J13-'5.4'!J13-'5.5'!J13</f>
        <v>1.9208528101444244E-9</v>
      </c>
      <c r="T14" s="346"/>
      <c r="U14" s="346"/>
    </row>
    <row r="15" spans="1:21" ht="12.95" customHeight="1">
      <c r="A15" s="469" t="str">
        <f>'3.1'!E5</f>
        <v>Únor</v>
      </c>
      <c r="B15" s="469"/>
      <c r="C15" s="145" t="s">
        <v>4</v>
      </c>
      <c r="D15" s="279">
        <v>1501</v>
      </c>
      <c r="E15" s="275">
        <v>370674.05727133597</v>
      </c>
      <c r="F15" s="275">
        <v>4046431.1901559997</v>
      </c>
      <c r="G15" s="276">
        <f>E15/$E$21</f>
        <v>0.40092663346121643</v>
      </c>
      <c r="H15" s="276">
        <f>(E15-I15)/I15</f>
        <v>1.4247335236556247E-2</v>
      </c>
      <c r="I15" s="279">
        <v>365467.12462880905</v>
      </c>
      <c r="J15" s="275">
        <v>3966941.1341880006</v>
      </c>
      <c r="K15" s="276">
        <f>I15/$I$21</f>
        <v>0.37992803404385289</v>
      </c>
      <c r="L15" s="80"/>
      <c r="M15" s="387">
        <f>D15-'5.2'!D14-'5.3'!D14-'5.4'!D14-'5.5'!D14</f>
        <v>0</v>
      </c>
      <c r="N15" s="387">
        <f>E15-'5.2'!E14-'5.3'!E14-'5.4'!E14-'5.5'!E14</f>
        <v>0</v>
      </c>
      <c r="O15" s="387">
        <f>F15-'5.2'!F14-'5.3'!F14-'5.4'!F14-'5.5'!F14</f>
        <v>0</v>
      </c>
      <c r="P15" s="387"/>
      <c r="Q15" s="387"/>
      <c r="R15" s="387">
        <f>I15-'5.2'!I14-'5.3'!I14-'5.4'!I14-'5.5'!I14</f>
        <v>0</v>
      </c>
      <c r="S15" s="387">
        <f>J15-'5.2'!J14-'5.3'!J14-'5.4'!J14-'5.5'!J14</f>
        <v>0</v>
      </c>
      <c r="T15" s="346"/>
      <c r="U15" s="346"/>
    </row>
    <row r="16" spans="1:21" ht="12.95" customHeight="1">
      <c r="A16" s="470"/>
      <c r="B16" s="470"/>
      <c r="C16" s="135" t="s">
        <v>5</v>
      </c>
      <c r="D16" s="280">
        <v>5624</v>
      </c>
      <c r="E16" s="113">
        <v>86765.138812574995</v>
      </c>
      <c r="F16" s="113">
        <v>946648.75306700007</v>
      </c>
      <c r="G16" s="274">
        <f t="shared" ref="G16:G20" si="3">E16/$E$21</f>
        <v>9.3846478661054208E-2</v>
      </c>
      <c r="H16" s="274">
        <f t="shared" ref="H16:H18" si="4">(E16-I16)/I16</f>
        <v>-9.7506921193474927E-2</v>
      </c>
      <c r="I16" s="280">
        <v>96139.395248675981</v>
      </c>
      <c r="J16" s="113">
        <v>1043583.162745</v>
      </c>
      <c r="K16" s="274">
        <f t="shared" ref="K16:K20" si="5">I16/$I$21</f>
        <v>9.9943466784030183E-2</v>
      </c>
      <c r="L16" s="81"/>
      <c r="M16" s="387">
        <f>D16-'5.2'!D15-'5.3'!D15-'5.4'!D15-'5.5'!D15</f>
        <v>0</v>
      </c>
      <c r="N16" s="387">
        <f>E16-'5.2'!E15-'5.3'!E15-'5.4'!E15-'5.5'!E15</f>
        <v>-8.5975671026972122E-12</v>
      </c>
      <c r="O16" s="387">
        <f>F16-'5.2'!F15-'5.3'!F15-'5.4'!F15-'5.5'!F15</f>
        <v>-1.9554136088117957E-11</v>
      </c>
      <c r="P16" s="387"/>
      <c r="Q16" s="387"/>
      <c r="R16" s="387">
        <f>I16-'5.2'!I15-'5.3'!I15-'5.4'!I15-'5.5'!I15</f>
        <v>-1.0814460438268725E-11</v>
      </c>
      <c r="S16" s="387">
        <f>J16-'5.2'!J15-'5.3'!J15-'5.4'!J15-'5.5'!J15</f>
        <v>7.1395334089174867E-11</v>
      </c>
      <c r="T16" s="346"/>
      <c r="U16" s="346"/>
    </row>
    <row r="17" spans="1:21" ht="12.95" customHeight="1">
      <c r="A17" s="470"/>
      <c r="B17" s="470"/>
      <c r="C17" s="135" t="s">
        <v>6</v>
      </c>
      <c r="D17" s="280">
        <v>200681</v>
      </c>
      <c r="E17" s="113">
        <v>159716.80687567798</v>
      </c>
      <c r="F17" s="113">
        <v>1742473.1005742322</v>
      </c>
      <c r="G17" s="274">
        <f t="shared" si="3"/>
        <v>0.17275209967275099</v>
      </c>
      <c r="H17" s="274">
        <f t="shared" si="4"/>
        <v>-6.9974440556135775E-2</v>
      </c>
      <c r="I17" s="280">
        <v>171733.78221044299</v>
      </c>
      <c r="J17" s="113">
        <v>1863777.6674972053</v>
      </c>
      <c r="K17" s="274">
        <f>I17/$I$21</f>
        <v>0.17852899442158349</v>
      </c>
      <c r="L17" s="80"/>
      <c r="M17" s="387">
        <f>D17-'5.2'!D16-'5.3'!D16-'5.4'!D16-'5.5'!D16</f>
        <v>0</v>
      </c>
      <c r="N17" s="387">
        <f>E17-'5.2'!E16-'5.3'!E16-'5.4'!E16-'5.5'!E16</f>
        <v>-8.1286088970955461E-12</v>
      </c>
      <c r="O17" s="387">
        <f>F17-'5.2'!F16-'5.3'!F16-'5.4'!F16-'5.5'!F16</f>
        <v>1.90084392670542E-10</v>
      </c>
      <c r="P17" s="387"/>
      <c r="Q17" s="387"/>
      <c r="R17" s="387">
        <f>I17-'5.2'!I16-'5.3'!I16-'5.4'!I16-'5.5'!I16</f>
        <v>-9.4928509497549385E-12</v>
      </c>
      <c r="S17" s="387">
        <f>J17-'5.2'!J16-'5.3'!J16-'5.4'!J16-'5.5'!J16</f>
        <v>1.6711965145077556E-10</v>
      </c>
      <c r="T17" s="346"/>
      <c r="U17" s="346"/>
    </row>
    <row r="18" spans="1:21" ht="12.95" customHeight="1">
      <c r="A18" s="470"/>
      <c r="B18" s="470"/>
      <c r="C18" s="135" t="s">
        <v>7</v>
      </c>
      <c r="D18" s="280">
        <v>2489631</v>
      </c>
      <c r="E18" s="113">
        <v>283795.07500501408</v>
      </c>
      <c r="F18" s="113">
        <v>3096037.6197975641</v>
      </c>
      <c r="G18" s="274">
        <f t="shared" si="3"/>
        <v>0.30695702000894337</v>
      </c>
      <c r="H18" s="274">
        <f t="shared" si="4"/>
        <v>-6.3547389966720755E-2</v>
      </c>
      <c r="I18" s="280">
        <v>303053.322682211</v>
      </c>
      <c r="J18" s="113">
        <v>3288175.9236586061</v>
      </c>
      <c r="K18" s="274">
        <f>I18/$I$21</f>
        <v>0.31504462464045574</v>
      </c>
      <c r="L18" s="80"/>
      <c r="M18" s="387">
        <f>D18-'5.2'!D17-'5.3'!D17-'5.4'!D17-'5.5'!D17</f>
        <v>0</v>
      </c>
      <c r="N18" s="387">
        <f>E18-'5.2'!E17-'5.3'!E17-'5.4'!E17-'5.5'!E17</f>
        <v>2.9103830456733704E-11</v>
      </c>
      <c r="O18" s="387">
        <f>F18-'5.2'!F17-'5.3'!F17-'5.4'!F17-'5.5'!F17</f>
        <v>6.4028427004814148E-10</v>
      </c>
      <c r="P18" s="387"/>
      <c r="Q18" s="387"/>
      <c r="R18" s="387">
        <f>I18-'5.2'!I17-'5.3'!I17-'5.4'!I17-'5.5'!I17</f>
        <v>-1.6370904631912708E-11</v>
      </c>
      <c r="S18" s="387">
        <f>J18-'5.2'!J17-'5.3'!J17-'5.4'!J17-'5.5'!J17</f>
        <v>-2.9103830456733704E-11</v>
      </c>
      <c r="T18" s="346"/>
      <c r="U18" s="346"/>
    </row>
    <row r="19" spans="1:21" ht="12.95" customHeight="1">
      <c r="A19" s="470"/>
      <c r="B19" s="470"/>
      <c r="C19" s="135" t="s">
        <v>90</v>
      </c>
      <c r="D19" s="280">
        <v>280</v>
      </c>
      <c r="E19" s="113">
        <v>7008.7968772979993</v>
      </c>
      <c r="F19" s="113">
        <v>76446.783888999998</v>
      </c>
      <c r="G19" s="274">
        <f t="shared" si="3"/>
        <v>7.5808200803533007E-3</v>
      </c>
      <c r="H19" s="274">
        <f>(E19-I19)/I19</f>
        <v>-1.9622638856120558E-2</v>
      </c>
      <c r="I19" s="280">
        <v>7149.0807061480009</v>
      </c>
      <c r="J19" s="113">
        <v>77556.347806000005</v>
      </c>
      <c r="K19" s="274">
        <f>I19/$I$21</f>
        <v>7.4319576095013334E-3</v>
      </c>
      <c r="L19" s="80"/>
      <c r="M19" s="387">
        <f>D19-'5.2'!D18-'5.3'!D18-'5.4'!D18-'5.5'!D18</f>
        <v>0</v>
      </c>
      <c r="N19" s="387">
        <f>E19-'5.2'!E18-'5.3'!E18-'5.4'!E18-'5.5'!E18</f>
        <v>-2.5579538487363607E-13</v>
      </c>
      <c r="O19" s="387">
        <f>F19-'5.2'!F18-'5.3'!F18-'5.4'!F18-'5.5'!F18</f>
        <v>-1.1368683772161603E-12</v>
      </c>
      <c r="P19" s="387"/>
      <c r="Q19" s="387"/>
      <c r="R19" s="387">
        <f>I19-'5.2'!I18-'5.3'!I18-'5.4'!I18-'5.5'!I18</f>
        <v>1.1368683772161603E-13</v>
      </c>
      <c r="S19" s="387">
        <f>J19-'5.2'!J18-'5.3'!J18-'5.4'!J18-'5.5'!J18</f>
        <v>-1.3642420526593924E-12</v>
      </c>
      <c r="T19" s="346"/>
      <c r="U19" s="346"/>
    </row>
    <row r="20" spans="1:21" ht="12.95" customHeight="1">
      <c r="A20" s="470"/>
      <c r="B20" s="470"/>
      <c r="C20" s="135" t="s">
        <v>91</v>
      </c>
      <c r="D20" s="280"/>
      <c r="E20" s="113">
        <v>16583.486299491</v>
      </c>
      <c r="F20" s="113">
        <v>180979.404186</v>
      </c>
      <c r="G20" s="274">
        <f t="shared" si="3"/>
        <v>1.793694811568157E-2</v>
      </c>
      <c r="H20" s="274">
        <f t="shared" ref="H20" si="6">(E20-I20)/I20</f>
        <v>-9.848159950062535E-2</v>
      </c>
      <c r="I20" s="280">
        <v>18395.061365696998</v>
      </c>
      <c r="J20" s="113">
        <v>199590.37809899999</v>
      </c>
      <c r="K20" s="274">
        <f t="shared" si="5"/>
        <v>1.9122922500576619E-2</v>
      </c>
      <c r="L20" s="80"/>
      <c r="M20" s="387">
        <f>D20-'5.2'!D19-'5.3'!D19-'5.4'!D19-'5.5'!D19</f>
        <v>0</v>
      </c>
      <c r="N20" s="387">
        <f>E20-'5.2'!E19-'5.3'!E19-'5.4'!E19-'5.5'!E19</f>
        <v>2.3305801732931286E-12</v>
      </c>
      <c r="O20" s="387">
        <f>F20-'5.2'!F19-'5.3'!F19-'5.4'!F19-'5.5'!F19</f>
        <v>1.6370904631912708E-11</v>
      </c>
      <c r="P20" s="387"/>
      <c r="Q20" s="387"/>
      <c r="R20" s="387">
        <f>I20-'5.2'!I19-'5.3'!I19-'5.4'!I19-'5.5'!I19</f>
        <v>-6.8212102632969618E-13</v>
      </c>
      <c r="S20" s="387">
        <f>J20-'5.2'!J19-'5.3'!J19-'5.4'!J19-'5.5'!J19</f>
        <v>0</v>
      </c>
      <c r="T20" s="346"/>
      <c r="U20" s="346"/>
    </row>
    <row r="21" spans="1:21" ht="12.95" customHeight="1">
      <c r="A21" s="471"/>
      <c r="B21" s="471"/>
      <c r="C21" s="285" t="s">
        <v>0</v>
      </c>
      <c r="D21" s="288">
        <v>2697717</v>
      </c>
      <c r="E21" s="286">
        <v>924543.36114139215</v>
      </c>
      <c r="F21" s="286">
        <v>10089016.851669796</v>
      </c>
      <c r="G21" s="287">
        <f>SUM(G15:G20)</f>
        <v>0.99999999999999989</v>
      </c>
      <c r="H21" s="287">
        <f>(E21-I21)/I21</f>
        <v>-3.8874038414518718E-2</v>
      </c>
      <c r="I21" s="288">
        <v>961937.76684198377</v>
      </c>
      <c r="J21" s="286">
        <v>10439624.613993812</v>
      </c>
      <c r="K21" s="287">
        <f>SUM(K15:K20)</f>
        <v>1.0000000000000002</v>
      </c>
      <c r="L21" s="80"/>
      <c r="M21" s="387">
        <f>D21-'5.2'!D20-'5.3'!D20-'5.4'!D20-'5.5'!D20</f>
        <v>0</v>
      </c>
      <c r="N21" s="387">
        <f>E21-'5.2'!E20-'5.3'!E20-'5.4'!E20-'5.5'!E20</f>
        <v>8.0035533756017685E-11</v>
      </c>
      <c r="O21" s="387">
        <f>F21-'5.2'!F20-'5.3'!F20-'5.4'!F20-'5.5'!F20</f>
        <v>9.3132257461547852E-10</v>
      </c>
      <c r="P21" s="387"/>
      <c r="Q21" s="387"/>
      <c r="R21" s="387">
        <f>I21-'5.2'!I20-'5.3'!I20-'5.4'!I20-'5.5'!I20</f>
        <v>-2.255546860396862E-10</v>
      </c>
      <c r="S21" s="387">
        <f>J21-'5.2'!J20-'5.3'!J20-'5.4'!J20-'5.5'!J20</f>
        <v>0</v>
      </c>
      <c r="T21" s="346"/>
      <c r="U21" s="346"/>
    </row>
    <row r="22" spans="1:21" ht="12.95" customHeight="1">
      <c r="A22" s="469" t="str">
        <f>'3.1'!F5</f>
        <v>Březen</v>
      </c>
      <c r="B22" s="469"/>
      <c r="C22" s="145" t="s">
        <v>4</v>
      </c>
      <c r="D22" s="279">
        <v>1502</v>
      </c>
      <c r="E22" s="275">
        <v>309086.32668699697</v>
      </c>
      <c r="F22" s="275">
        <v>3392928.1344380002</v>
      </c>
      <c r="G22" s="276">
        <f>E22/$E$28</f>
        <v>0.42868777792381219</v>
      </c>
      <c r="H22" s="276">
        <f>(E22-I22)/I22</f>
        <v>-5.5686743095512775E-2</v>
      </c>
      <c r="I22" s="279">
        <v>327313.34059653</v>
      </c>
      <c r="J22" s="275">
        <v>3570211.0122060003</v>
      </c>
      <c r="K22" s="276">
        <f>I22/$I$28</f>
        <v>0.43583932127117708</v>
      </c>
      <c r="L22" s="82"/>
      <c r="M22" s="387">
        <f>D22-'5.2'!D21-'5.3'!D21-'5.4'!D21-'5.5'!D21</f>
        <v>0</v>
      </c>
      <c r="N22" s="387">
        <f>E22-'5.2'!E21-'5.3'!E21-'5.4'!E21-'5.5'!E21</f>
        <v>0</v>
      </c>
      <c r="O22" s="387">
        <f>F22-'5.2'!F21-'5.3'!F21-'5.4'!F21-'5.5'!F21</f>
        <v>0</v>
      </c>
      <c r="P22" s="387"/>
      <c r="Q22" s="387"/>
      <c r="R22" s="387">
        <f>I22-'5.2'!I21-'5.3'!I21-'5.4'!I21-'5.5'!I21</f>
        <v>0</v>
      </c>
      <c r="S22" s="387">
        <f>J22-'5.2'!J21-'5.3'!J21-'5.4'!J21-'5.5'!J21</f>
        <v>0</v>
      </c>
      <c r="T22" s="346"/>
      <c r="U22" s="346"/>
    </row>
    <row r="23" spans="1:21" ht="12.95" customHeight="1">
      <c r="A23" s="470"/>
      <c r="B23" s="470"/>
      <c r="C23" s="135" t="s">
        <v>5</v>
      </c>
      <c r="D23" s="280">
        <v>5409</v>
      </c>
      <c r="E23" s="113">
        <v>67911.008976974001</v>
      </c>
      <c r="F23" s="113">
        <v>745522.45482600003</v>
      </c>
      <c r="G23" s="274">
        <f t="shared" ref="G23:G27" si="7">E23/$E$28</f>
        <v>9.4189283126666995E-2</v>
      </c>
      <c r="H23" s="274">
        <f t="shared" ref="H23:H26" si="8">(E23-I23)/I23</f>
        <v>-3.04221269034563E-2</v>
      </c>
      <c r="I23" s="280">
        <v>70041.830430892995</v>
      </c>
      <c r="J23" s="113">
        <v>764229.81771700003</v>
      </c>
      <c r="K23" s="274">
        <f t="shared" ref="K23:K27" si="9">I23/$I$28</f>
        <v>9.3265321174980875E-2</v>
      </c>
      <c r="L23" s="82"/>
      <c r="M23" s="387">
        <f>D23-'5.2'!D22-'5.3'!D22-'5.4'!D22-'5.5'!D22</f>
        <v>0</v>
      </c>
      <c r="N23" s="387">
        <f>E23-'5.2'!E22-'5.3'!E22-'5.4'!E22-'5.5'!E22</f>
        <v>9.0381035988684744E-12</v>
      </c>
      <c r="O23" s="387">
        <f>F23-'5.2'!F22-'5.3'!F22-'5.4'!F22-'5.5'!F22</f>
        <v>2.8308022592682391E-11</v>
      </c>
      <c r="P23" s="387"/>
      <c r="Q23" s="387"/>
      <c r="R23" s="387">
        <f>I23-'5.2'!I22-'5.3'!I22-'5.4'!I22-'5.5'!I22</f>
        <v>-6.6791017161449417E-13</v>
      </c>
      <c r="S23" s="387">
        <f>J23-'5.2'!J22-'5.3'!J22-'5.4'!J22-'5.5'!J22</f>
        <v>-1.8872015061788261E-11</v>
      </c>
      <c r="T23" s="346"/>
      <c r="U23" s="346"/>
    </row>
    <row r="24" spans="1:21" ht="12.95" customHeight="1">
      <c r="A24" s="470"/>
      <c r="B24" s="470"/>
      <c r="C24" s="135" t="s">
        <v>6</v>
      </c>
      <c r="D24" s="280">
        <v>200714</v>
      </c>
      <c r="E24" s="113">
        <v>117316.22161524001</v>
      </c>
      <c r="F24" s="113">
        <v>1287775.7249696497</v>
      </c>
      <c r="G24" s="274">
        <f t="shared" si="7"/>
        <v>0.16271192225718889</v>
      </c>
      <c r="H24" s="274">
        <f t="shared" si="8"/>
        <v>-3.0144638535373469E-2</v>
      </c>
      <c r="I24" s="280">
        <v>120962.595327694</v>
      </c>
      <c r="J24" s="113">
        <v>1319539.843377674</v>
      </c>
      <c r="K24" s="274">
        <f t="shared" si="9"/>
        <v>0.16106968127464438</v>
      </c>
      <c r="L24" s="82"/>
      <c r="M24" s="387">
        <f>D24-'5.2'!D23-'5.3'!D23-'5.4'!D23-'5.5'!D23</f>
        <v>0</v>
      </c>
      <c r="N24" s="387">
        <f>E24-'5.2'!E23-'5.3'!E23-'5.4'!E23-'5.5'!E23</f>
        <v>-1.0487610779819079E-11</v>
      </c>
      <c r="O24" s="387">
        <f>F24-'5.2'!F23-'5.3'!F23-'5.4'!F23-'5.5'!F23</f>
        <v>-1.5370460459962487E-10</v>
      </c>
      <c r="P24" s="387"/>
      <c r="Q24" s="387"/>
      <c r="R24" s="387">
        <f>I24-'5.2'!I23-'5.3'!I23-'5.4'!I23-'5.5'!I23</f>
        <v>-4.5474735088646412E-12</v>
      </c>
      <c r="S24" s="387">
        <f>J24-'5.2'!J23-'5.3'!J23-'5.4'!J23-'5.5'!J23</f>
        <v>-1.609805622138083E-10</v>
      </c>
      <c r="T24" s="346"/>
      <c r="U24" s="346"/>
    </row>
    <row r="25" spans="1:21" ht="12.95" customHeight="1">
      <c r="A25" s="470"/>
      <c r="B25" s="470"/>
      <c r="C25" s="135" t="s">
        <v>7</v>
      </c>
      <c r="D25" s="280">
        <v>2487318</v>
      </c>
      <c r="E25" s="113">
        <v>206371.39275706498</v>
      </c>
      <c r="F25" s="113">
        <v>2265235.2954343935</v>
      </c>
      <c r="G25" s="274">
        <f t="shared" si="7"/>
        <v>0.28622713510603931</v>
      </c>
      <c r="H25" s="274">
        <f t="shared" si="8"/>
        <v>-1.4202552025581393E-2</v>
      </c>
      <c r="I25" s="280">
        <v>209344.62062273498</v>
      </c>
      <c r="J25" s="113">
        <v>2283167.4802343948</v>
      </c>
      <c r="K25" s="274">
        <f t="shared" si="9"/>
        <v>0.27875618267712049</v>
      </c>
      <c r="L25" s="82"/>
      <c r="M25" s="387">
        <f>D25-'5.2'!D24-'5.3'!D24-'5.4'!D24-'5.5'!D24</f>
        <v>0</v>
      </c>
      <c r="N25" s="387">
        <f>E25-'5.2'!E24-'5.3'!E24-'5.4'!E24-'5.5'!E24</f>
        <v>-8.8475893278427975E-12</v>
      </c>
      <c r="O25" s="387">
        <f>F25-'5.2'!F24-'5.3'!F24-'5.4'!F24-'5.5'!F24</f>
        <v>3.9092284964681312E-10</v>
      </c>
      <c r="P25" s="387"/>
      <c r="Q25" s="387"/>
      <c r="R25" s="387">
        <f>I25-'5.2'!I24-'5.3'!I24-'5.4'!I24-'5.5'!I24</f>
        <v>6.9557692938815308E-12</v>
      </c>
      <c r="S25" s="387">
        <f>J25-'5.2'!J24-'5.3'!J24-'5.4'!J24-'5.5'!J24</f>
        <v>-1.2840573049288651E-10</v>
      </c>
      <c r="T25" s="346"/>
      <c r="U25" s="346"/>
    </row>
    <row r="26" spans="1:21" ht="12.95" customHeight="1">
      <c r="A26" s="470"/>
      <c r="B26" s="470"/>
      <c r="C26" s="135" t="s">
        <v>90</v>
      </c>
      <c r="D26" s="280">
        <v>280</v>
      </c>
      <c r="E26" s="113">
        <v>7515.4973950929998</v>
      </c>
      <c r="F26" s="113">
        <v>82474.592753999998</v>
      </c>
      <c r="G26" s="274">
        <f t="shared" si="7"/>
        <v>1.0423631199827371E-2</v>
      </c>
      <c r="H26" s="274">
        <f t="shared" si="8"/>
        <v>-1.5411295953478748E-2</v>
      </c>
      <c r="I26" s="280">
        <v>7633.133880376</v>
      </c>
      <c r="J26" s="113">
        <v>83231.702340999997</v>
      </c>
      <c r="K26" s="274">
        <f t="shared" si="9"/>
        <v>1.0164021678835204E-2</v>
      </c>
      <c r="L26" s="82"/>
      <c r="M26" s="387">
        <f>D26-'5.2'!D25-'5.3'!D25-'5.4'!D25-'5.5'!D25</f>
        <v>0</v>
      </c>
      <c r="N26" s="387">
        <f>E26-'5.2'!E25-'5.3'!E25-'5.4'!E25-'5.5'!E25</f>
        <v>4.1211478674085811E-13</v>
      </c>
      <c r="O26" s="387">
        <f>F26-'5.2'!F25-'5.3'!F25-'5.4'!F25-'5.5'!F25</f>
        <v>5.2295945351943374E-12</v>
      </c>
      <c r="P26" s="387"/>
      <c r="Q26" s="387"/>
      <c r="R26" s="387">
        <f>I26-'5.2'!I25-'5.3'!I25-'5.4'!I25-'5.5'!I25</f>
        <v>2.4868995751603507E-13</v>
      </c>
      <c r="S26" s="387">
        <f>J26-'5.2'!J25-'5.3'!J25-'5.4'!J25-'5.5'!J25</f>
        <v>-4.5474735088646412E-12</v>
      </c>
      <c r="T26" s="346"/>
      <c r="U26" s="346"/>
    </row>
    <row r="27" spans="1:21" ht="12.95" customHeight="1">
      <c r="A27" s="470"/>
      <c r="B27" s="470"/>
      <c r="C27" s="135" t="s">
        <v>91</v>
      </c>
      <c r="D27" s="280"/>
      <c r="E27" s="113">
        <v>12805.241566671</v>
      </c>
      <c r="F27" s="113">
        <v>140578.78254300004</v>
      </c>
      <c r="G27" s="274">
        <f t="shared" si="7"/>
        <v>1.7760250386465132E-2</v>
      </c>
      <c r="H27" s="274">
        <f t="shared" ref="H27" si="10">(E27-I27)/I27</f>
        <v>-0.18437504911991856</v>
      </c>
      <c r="I27" s="280">
        <v>15699.913977439996</v>
      </c>
      <c r="J27" s="113">
        <v>171224.30429600002</v>
      </c>
      <c r="K27" s="274">
        <f t="shared" si="9"/>
        <v>2.090547192324203E-2</v>
      </c>
      <c r="L27" s="82"/>
      <c r="M27" s="387">
        <f>D27-'5.2'!D26-'5.3'!D26-'5.4'!D26-'5.5'!D26</f>
        <v>0</v>
      </c>
      <c r="N27" s="387">
        <f>E27-'5.2'!E26-'5.3'!E26-'5.4'!E26-'5.5'!E26</f>
        <v>2.5579538487363607E-12</v>
      </c>
      <c r="O27" s="387">
        <f>F27-'5.2'!F26-'5.3'!F26-'5.4'!F26-'5.5'!F26</f>
        <v>1.2278178473934531E-11</v>
      </c>
      <c r="P27" s="387"/>
      <c r="Q27" s="387"/>
      <c r="R27" s="387">
        <f>I27-'5.2'!I26-'5.3'!I26-'5.4'!I26-'5.5'!I26</f>
        <v>-7.3896444519050419E-13</v>
      </c>
      <c r="S27" s="387">
        <f>J27-'5.2'!J26-'5.3'!J26-'5.4'!J26-'5.5'!J26</f>
        <v>1.0913936421275139E-11</v>
      </c>
      <c r="T27" s="346"/>
      <c r="U27" s="346"/>
    </row>
    <row r="28" spans="1:21" ht="12.95" customHeight="1">
      <c r="A28" s="471"/>
      <c r="B28" s="471"/>
      <c r="C28" s="285" t="s">
        <v>0</v>
      </c>
      <c r="D28" s="288">
        <v>2695223</v>
      </c>
      <c r="E28" s="286">
        <v>721005.68899804004</v>
      </c>
      <c r="F28" s="286">
        <v>7914514.9849650422</v>
      </c>
      <c r="G28" s="287">
        <f>SUM(G22:G27)</f>
        <v>0.99999999999999978</v>
      </c>
      <c r="H28" s="287">
        <f>(E28-I28)/I28</f>
        <v>-3.9933326417876606E-2</v>
      </c>
      <c r="I28" s="288">
        <v>750995.43483566795</v>
      </c>
      <c r="J28" s="286">
        <v>8191604.1601720685</v>
      </c>
      <c r="K28" s="287">
        <f>SUM(K22:K27)</f>
        <v>1</v>
      </c>
      <c r="M28" s="387">
        <f>D28-'5.2'!D27-'5.3'!D27-'5.4'!D27-'5.5'!D27</f>
        <v>0</v>
      </c>
      <c r="N28" s="387">
        <f>E28-'5.2'!E27-'5.3'!E27-'5.4'!E27-'5.5'!E27</f>
        <v>4.7293724492192268E-11</v>
      </c>
      <c r="O28" s="387">
        <f>F28-'5.2'!F27-'5.3'!F27-'5.4'!F27-'5.5'!F27</f>
        <v>-1.0477378964424133E-9</v>
      </c>
      <c r="P28" s="387"/>
      <c r="Q28" s="387"/>
      <c r="R28" s="387">
        <f>I28-'5.2'!I27-'5.3'!I27-'5.4'!I27-'5.5'!I27</f>
        <v>7.2759576141834259E-11</v>
      </c>
      <c r="S28" s="387">
        <f>J28-'5.2'!J27-'5.3'!J27-'5.4'!J27-'5.5'!J27</f>
        <v>0</v>
      </c>
      <c r="T28" s="346"/>
      <c r="U28" s="346"/>
    </row>
    <row r="29" spans="1:21" ht="12.95" customHeight="1">
      <c r="A29" s="472" t="str">
        <f>'3.1'!G5</f>
        <v>I. čtvrtletí</v>
      </c>
      <c r="B29" s="469"/>
      <c r="C29" s="145" t="s">
        <v>4</v>
      </c>
      <c r="D29" s="279">
        <f>D22</f>
        <v>1502</v>
      </c>
      <c r="E29" s="275">
        <f>E8+E15+E22</f>
        <v>1156679.430574599</v>
      </c>
      <c r="F29" s="275">
        <f>F8+F15+F22</f>
        <v>12662524.875742</v>
      </c>
      <c r="G29" s="276">
        <f>E29/$E$35</f>
        <v>0.4018685472765946</v>
      </c>
      <c r="H29" s="276">
        <f>(E29-I29)/I29</f>
        <v>6.651221458807742E-2</v>
      </c>
      <c r="I29" s="279">
        <f>I8+I15+I22</f>
        <v>1084544.0068601063</v>
      </c>
      <c r="J29" s="275">
        <f>J8+J15+J22</f>
        <v>11796917.328104001</v>
      </c>
      <c r="K29" s="276">
        <f>I29/$I$35</f>
        <v>0.39337027254632639</v>
      </c>
      <c r="M29" s="387">
        <f>D29-'5.2'!D28-'5.3'!D28-'5.4'!D28-'5.5'!D28</f>
        <v>0</v>
      </c>
      <c r="N29" s="387">
        <f>E29-'5.2'!E28-'5.3'!E28-'5.4'!E28-'5.5'!E28</f>
        <v>0</v>
      </c>
      <c r="O29" s="387">
        <f>F29-'5.2'!F28-'5.3'!F28-'5.4'!F28-'5.5'!F28</f>
        <v>1.862645149230957E-9</v>
      </c>
      <c r="P29" s="387"/>
      <c r="Q29" s="387"/>
      <c r="R29" s="387">
        <f>I29-'5.2'!I28-'5.3'!I28-'5.4'!I28-'5.5'!I28</f>
        <v>1.3096723705530167E-10</v>
      </c>
      <c r="S29" s="387">
        <f>J29-'5.2'!J28-'5.3'!J28-'5.4'!J28-'5.5'!J28</f>
        <v>0</v>
      </c>
      <c r="T29" s="346"/>
      <c r="U29" s="346"/>
    </row>
    <row r="30" spans="1:21" ht="12.95" customHeight="1">
      <c r="A30" s="470"/>
      <c r="B30" s="470"/>
      <c r="C30" s="135" t="s">
        <v>5</v>
      </c>
      <c r="D30" s="280">
        <f t="shared" ref="D30:D33" si="11">D23</f>
        <v>5409</v>
      </c>
      <c r="E30" s="113">
        <f>E9+E16+E23</f>
        <v>272242.45477331401</v>
      </c>
      <c r="F30" s="113">
        <f t="shared" ref="F30" si="12">F9+F16+F23</f>
        <v>2979411.5129240002</v>
      </c>
      <c r="G30" s="274">
        <f t="shared" ref="G30:G34" si="13">E30/$E$35</f>
        <v>9.4585999296638912E-2</v>
      </c>
      <c r="H30" s="274">
        <f t="shared" ref="H30:H32" si="14">(E30-I30)/I30</f>
        <v>9.4407816294914855E-3</v>
      </c>
      <c r="I30" s="280">
        <f>I9+I16+I23</f>
        <v>269696.31079680193</v>
      </c>
      <c r="J30" s="113">
        <f t="shared" ref="J30" si="15">J9+J16+J23</f>
        <v>2933739.7718199999</v>
      </c>
      <c r="K30" s="274">
        <f t="shared" ref="K30:K34" si="16">I30/$I$35</f>
        <v>9.7820384061705651E-2</v>
      </c>
      <c r="M30" s="387">
        <f>D30-'5.2'!D29-'5.3'!D29-'5.4'!D29-'5.5'!D29</f>
        <v>0</v>
      </c>
      <c r="N30" s="387">
        <f>E30-'5.2'!E29-'5.3'!E29-'5.4'!E29-'5.5'!E29</f>
        <v>4.2405190470162779E-11</v>
      </c>
      <c r="O30" s="387">
        <f>F30-'5.2'!F29-'5.3'!F29-'5.4'!F29-'5.5'!F29</f>
        <v>-3.2787283998914063E-10</v>
      </c>
      <c r="P30" s="387"/>
      <c r="Q30" s="387"/>
      <c r="R30" s="387">
        <f>I30-'5.2'!I29-'5.3'!I29-'5.4'!I29-'5.5'!I29</f>
        <v>-3.2855496101547033E-11</v>
      </c>
      <c r="S30" s="387">
        <f>J30-'5.2'!J29-'5.3'!J29-'5.4'!J29-'5.5'!J29</f>
        <v>3.155946615152061E-10</v>
      </c>
      <c r="T30" s="346"/>
      <c r="U30" s="346"/>
    </row>
    <row r="31" spans="1:21" ht="12.95" customHeight="1">
      <c r="A31" s="470"/>
      <c r="B31" s="470"/>
      <c r="C31" s="135" t="s">
        <v>6</v>
      </c>
      <c r="D31" s="280">
        <f t="shared" si="11"/>
        <v>200714</v>
      </c>
      <c r="E31" s="113">
        <f t="shared" ref="E31:F31" si="17">E10+E17+E24</f>
        <v>493107.85408362502</v>
      </c>
      <c r="F31" s="113">
        <f t="shared" si="17"/>
        <v>5395916.5278957896</v>
      </c>
      <c r="G31" s="274">
        <f t="shared" si="13"/>
        <v>0.17132191662890037</v>
      </c>
      <c r="H31" s="274">
        <f t="shared" si="14"/>
        <v>3.5942840778172086E-2</v>
      </c>
      <c r="I31" s="280">
        <f t="shared" ref="I31:J31" si="18">I10+I17+I24</f>
        <v>475999.09442225192</v>
      </c>
      <c r="J31" s="113">
        <f t="shared" si="18"/>
        <v>5176794.0260874406</v>
      </c>
      <c r="K31" s="274">
        <f t="shared" si="16"/>
        <v>0.17264757568185807</v>
      </c>
      <c r="M31" s="387">
        <f>D31-'5.2'!D30-'5.3'!D30-'5.4'!D30-'5.5'!D30</f>
        <v>0</v>
      </c>
      <c r="N31" s="387">
        <f>E31-'5.2'!E30-'5.3'!E30-'5.4'!E30-'5.5'!E30</f>
        <v>-4.2064129956997931E-12</v>
      </c>
      <c r="O31" s="387">
        <f>F31-'5.2'!F30-'5.3'!F30-'5.4'!F30-'5.5'!F30</f>
        <v>6.0572347138077021E-10</v>
      </c>
      <c r="P31" s="387"/>
      <c r="Q31" s="387"/>
      <c r="R31" s="387">
        <f>I31-'5.2'!I30-'5.3'!I30-'5.4'!I30-'5.5'!I30</f>
        <v>-1.3301360013429075E-10</v>
      </c>
      <c r="S31" s="387">
        <f>J31-'5.2'!J30-'5.3'!J30-'5.4'!J30-'5.5'!J30</f>
        <v>-3.510649548843503E-10</v>
      </c>
      <c r="T31" s="346"/>
      <c r="U31" s="346"/>
    </row>
    <row r="32" spans="1:21" ht="12.95" customHeight="1">
      <c r="A32" s="470"/>
      <c r="B32" s="470"/>
      <c r="C32" s="135" t="s">
        <v>7</v>
      </c>
      <c r="D32" s="280">
        <f t="shared" si="11"/>
        <v>2487318</v>
      </c>
      <c r="E32" s="113">
        <f>E11+E18+E25</f>
        <v>888342.77058171004</v>
      </c>
      <c r="F32" s="113">
        <f t="shared" ref="E32:F34" si="19">F11+F18+F25</f>
        <v>9720381.514168106</v>
      </c>
      <c r="G32" s="274">
        <f t="shared" si="13"/>
        <v>0.30863954978432789</v>
      </c>
      <c r="H32" s="274">
        <f t="shared" si="14"/>
        <v>4.5812304930029246E-2</v>
      </c>
      <c r="I32" s="280">
        <f>I11+I18+I25</f>
        <v>849428.49342468311</v>
      </c>
      <c r="J32" s="113">
        <f t="shared" ref="J32" si="20">J11+J18+J25</f>
        <v>9235923.0908664875</v>
      </c>
      <c r="K32" s="274">
        <f t="shared" si="16"/>
        <v>0.30809254013994403</v>
      </c>
      <c r="M32" s="387">
        <f>D32-'5.2'!D31-'5.3'!D31-'5.4'!D31-'5.5'!D31</f>
        <v>0</v>
      </c>
      <c r="N32" s="387">
        <f>E32-'5.2'!E31-'5.3'!E31-'5.4'!E31-'5.5'!E31</f>
        <v>-5.2503335012943353E-11</v>
      </c>
      <c r="O32" s="387">
        <f>F32-'5.2'!F31-'5.3'!F31-'5.4'!F31-'5.5'!F31</f>
        <v>1.8170105420267646E-9</v>
      </c>
      <c r="P32" s="387"/>
      <c r="Q32" s="387"/>
      <c r="R32" s="387">
        <f>I32-'5.2'!I31-'5.3'!I31-'5.4'!I31-'5.5'!I31</f>
        <v>8.3353324242807503E-11</v>
      </c>
      <c r="S32" s="387">
        <f>J32-'5.2'!J31-'5.3'!J31-'5.4'!J31-'5.5'!J31</f>
        <v>-1.6563568294714059E-9</v>
      </c>
      <c r="T32" s="346"/>
      <c r="U32" s="346"/>
    </row>
    <row r="33" spans="1:21" ht="12.95" customHeight="1">
      <c r="A33" s="470"/>
      <c r="B33" s="470"/>
      <c r="C33" s="135" t="s">
        <v>90</v>
      </c>
      <c r="D33" s="280">
        <f t="shared" si="11"/>
        <v>280</v>
      </c>
      <c r="E33" s="113">
        <f>E12+E19+E26</f>
        <v>22059.04144795</v>
      </c>
      <c r="F33" s="113">
        <f t="shared" si="19"/>
        <v>241393.59461699997</v>
      </c>
      <c r="G33" s="274">
        <f t="shared" si="13"/>
        <v>7.6640378541166813E-3</v>
      </c>
      <c r="H33" s="274">
        <f>(E33-I33)/I33</f>
        <v>-1.9083228355832583E-2</v>
      </c>
      <c r="I33" s="280">
        <f>I12+I19+I26</f>
        <v>22488.188687992002</v>
      </c>
      <c r="J33" s="113">
        <f t="shared" ref="J33" si="21">J12+J19+J26</f>
        <v>244560.82436</v>
      </c>
      <c r="K33" s="274">
        <f t="shared" si="16"/>
        <v>8.1565937917811807E-3</v>
      </c>
      <c r="M33" s="387">
        <f>D33-'5.2'!D32-'5.3'!D32-'5.4'!D32-'5.5'!D32</f>
        <v>0</v>
      </c>
      <c r="N33" s="387">
        <f>E33-'5.2'!E32-'5.3'!E32-'5.4'!E32-'5.5'!E32</f>
        <v>3.3111291486420669E-12</v>
      </c>
      <c r="O33" s="387">
        <f>F33-'5.2'!F32-'5.3'!F32-'5.4'!F32-'5.5'!F32</f>
        <v>-6.9803718361072242E-11</v>
      </c>
      <c r="P33" s="387"/>
      <c r="Q33" s="387"/>
      <c r="R33" s="387">
        <f>I33-'5.2'!I32-'5.3'!I32-'5.4'!I32-'5.5'!I32</f>
        <v>7.1054273576010019E-13</v>
      </c>
      <c r="S33" s="387">
        <f>J33-'5.2'!J32-'5.3'!J32-'5.4'!J32-'5.5'!J32</f>
        <v>9.0949470177292824E-12</v>
      </c>
      <c r="T33" s="346"/>
      <c r="U33" s="346"/>
    </row>
    <row r="34" spans="1:21" ht="12.95" customHeight="1">
      <c r="A34" s="470"/>
      <c r="B34" s="470"/>
      <c r="C34" s="135" t="s">
        <v>91</v>
      </c>
      <c r="D34" s="280"/>
      <c r="E34" s="113">
        <f t="shared" si="19"/>
        <v>45821.644548415003</v>
      </c>
      <c r="F34" s="113">
        <f t="shared" si="19"/>
        <v>501506.02406300011</v>
      </c>
      <c r="G34" s="274">
        <f t="shared" si="13"/>
        <v>1.591994915942133E-2</v>
      </c>
      <c r="H34" s="274">
        <f t="shared" ref="H34" si="22">(E34-I34)/I34</f>
        <v>-0.16536551749481301</v>
      </c>
      <c r="I34" s="280">
        <f t="shared" ref="I34:J34" si="23">I13+I20+I27</f>
        <v>54900.253355072993</v>
      </c>
      <c r="J34" s="113">
        <f t="shared" si="23"/>
        <v>597052.93293300003</v>
      </c>
      <c r="K34" s="274">
        <f t="shared" si="16"/>
        <v>1.991263377838488E-2</v>
      </c>
      <c r="M34" s="387">
        <f>D34-'5.2'!D33-'5.3'!D33-'5.4'!D33-'5.5'!D33</f>
        <v>0</v>
      </c>
      <c r="N34" s="387">
        <f>E34-'5.2'!E33-'5.3'!E33-'5.4'!E33-'5.5'!E33</f>
        <v>4.3200998334214091E-12</v>
      </c>
      <c r="O34" s="387">
        <f>F34-'5.2'!F33-'5.3'!F33-'5.4'!F33-'5.5'!F33</f>
        <v>9.0949470177292824E-11</v>
      </c>
      <c r="P34" s="387"/>
      <c r="Q34" s="387"/>
      <c r="R34" s="387">
        <f>I34-'5.2'!I33-'5.3'!I33-'5.4'!I33-'5.5'!I33</f>
        <v>9.0949470177292824E-13</v>
      </c>
      <c r="S34" s="387">
        <f>J34-'5.2'!J33-'5.3'!J33-'5.4'!J33-'5.5'!J33</f>
        <v>-8.1854523159563541E-11</v>
      </c>
      <c r="T34" s="346"/>
      <c r="U34" s="346"/>
    </row>
    <row r="35" spans="1:21" ht="12.95" customHeight="1">
      <c r="A35" s="471"/>
      <c r="B35" s="471"/>
      <c r="C35" s="285" t="s">
        <v>0</v>
      </c>
      <c r="D35" s="288">
        <f>SUM(D29:D34)</f>
        <v>2695223</v>
      </c>
      <c r="E35" s="286">
        <f>SUM(E29:E34)</f>
        <v>2878253.1960096136</v>
      </c>
      <c r="F35" s="286">
        <f>SUM(F29:F34)</f>
        <v>31501134.049409896</v>
      </c>
      <c r="G35" s="287">
        <f>SUM(G29:G34)</f>
        <v>0.99999999999999989</v>
      </c>
      <c r="H35" s="287">
        <f>(E35-I35)/I35</f>
        <v>4.3958785452658931E-2</v>
      </c>
      <c r="I35" s="288">
        <f>SUM(I29:I34)</f>
        <v>2757056.3475469076</v>
      </c>
      <c r="J35" s="286">
        <f>SUM(J29:J34)</f>
        <v>29984987.974170927</v>
      </c>
      <c r="K35" s="287">
        <f>SUM(K29:K34)</f>
        <v>1.0000000000000002</v>
      </c>
      <c r="M35" s="387">
        <f>D35-'5.2'!D34-'5.3'!D34-'5.4'!D34-'5.5'!D34</f>
        <v>0</v>
      </c>
      <c r="N35" s="387">
        <f>E35-'5.2'!E34-'5.3'!E34-'5.4'!E34-'5.5'!E34</f>
        <v>0</v>
      </c>
      <c r="O35" s="387">
        <f>F35-'5.2'!F34-'5.3'!F34-'5.4'!F34-'5.5'!F34</f>
        <v>7.9162418842315674E-9</v>
      </c>
      <c r="P35" s="387"/>
      <c r="Q35" s="387"/>
      <c r="R35" s="387">
        <f>I35-'5.2'!I34-'5.3'!I34-'5.4'!I34-'5.5'!I34</f>
        <v>-3.637978807091713E-10</v>
      </c>
      <c r="S35" s="387">
        <f>J35-'5.2'!J34-'5.3'!J34-'5.4'!J34-'5.5'!J34</f>
        <v>-6.0535967350006104E-9</v>
      </c>
      <c r="T35" s="346"/>
      <c r="U35" s="346"/>
    </row>
    <row r="36" spans="1:21" ht="20.100000000000001" customHeight="1">
      <c r="A36" s="110"/>
      <c r="B36" s="270"/>
      <c r="C36" s="90"/>
      <c r="D36" s="78"/>
      <c r="E36" s="78"/>
      <c r="F36" s="78"/>
      <c r="G36" s="473" t="s">
        <v>258</v>
      </c>
      <c r="H36" s="473"/>
      <c r="I36" s="473"/>
      <c r="J36" s="473"/>
      <c r="K36" s="473"/>
    </row>
    <row r="37" spans="1:21" ht="15" customHeight="1">
      <c r="A37" s="465" t="s">
        <v>257</v>
      </c>
      <c r="B37" s="465"/>
      <c r="C37" s="465"/>
      <c r="D37" s="465"/>
      <c r="E37" s="465"/>
      <c r="F37" s="104"/>
      <c r="G37" s="473"/>
      <c r="H37" s="473"/>
      <c r="I37" s="473"/>
      <c r="J37" s="473"/>
      <c r="K37" s="473"/>
      <c r="M37" s="68"/>
      <c r="N37" s="68"/>
      <c r="O37" s="68"/>
      <c r="P37" s="68"/>
      <c r="Q37" s="68"/>
      <c r="R37" s="68"/>
      <c r="S37" s="68"/>
    </row>
    <row r="38" spans="1:21" ht="15" customHeight="1">
      <c r="A38" s="466" t="str">
        <f>A29</f>
        <v>I. čtvrtletí</v>
      </c>
      <c r="B38" s="467"/>
      <c r="C38" s="467"/>
      <c r="D38" s="467"/>
      <c r="E38" s="467"/>
      <c r="F38" s="109"/>
      <c r="G38" s="468" t="str">
        <f>A29</f>
        <v>I. čtvrtletí</v>
      </c>
      <c r="H38" s="468"/>
      <c r="I38" s="468"/>
      <c r="J38" s="468"/>
      <c r="K38" s="468"/>
      <c r="M38" s="68"/>
      <c r="N38" s="68"/>
      <c r="O38" s="68"/>
      <c r="P38" s="68"/>
      <c r="Q38" s="68"/>
      <c r="R38" s="68"/>
      <c r="S38" s="68"/>
    </row>
    <row r="39" spans="1:21" ht="15" customHeight="1">
      <c r="A39" s="110"/>
      <c r="B39" s="110"/>
      <c r="C39" s="110"/>
      <c r="G39" s="110"/>
      <c r="H39" s="110"/>
      <c r="I39" s="110"/>
      <c r="J39" s="110"/>
      <c r="K39" s="110"/>
      <c r="M39" s="68"/>
      <c r="N39" s="68"/>
      <c r="O39" s="68"/>
      <c r="P39" s="68"/>
      <c r="Q39" s="68"/>
      <c r="R39" s="68"/>
      <c r="S39" s="68"/>
      <c r="T39" s="68"/>
    </row>
    <row r="40" spans="1:21" ht="15" customHeight="1">
      <c r="A40" s="83"/>
      <c r="B40" s="83"/>
      <c r="C40" s="83"/>
      <c r="G40" s="83"/>
      <c r="H40" s="83"/>
      <c r="I40" s="83"/>
      <c r="J40" s="83"/>
      <c r="K40" s="83"/>
    </row>
    <row r="41" spans="1:21" ht="15" customHeight="1">
      <c r="A41" s="83"/>
      <c r="B41" s="83"/>
      <c r="C41" s="83"/>
      <c r="G41" s="83"/>
      <c r="H41" s="83"/>
      <c r="I41" s="83"/>
      <c r="J41" s="83"/>
      <c r="K41" s="83"/>
    </row>
    <row r="42" spans="1:21" ht="15" customHeight="1">
      <c r="A42" s="83"/>
      <c r="B42" s="83"/>
      <c r="C42" s="83">
        <f>D4</f>
        <v>2026</v>
      </c>
      <c r="D42" s="83">
        <f>I4</f>
        <v>2025</v>
      </c>
      <c r="H42" s="83"/>
      <c r="I42" s="83">
        <f>D4</f>
        <v>2026</v>
      </c>
      <c r="J42" s="83">
        <f>I4</f>
        <v>2025</v>
      </c>
      <c r="K42" s="83"/>
    </row>
    <row r="43" spans="1:21" ht="15" customHeight="1">
      <c r="A43" s="83"/>
      <c r="B43" s="83" t="str">
        <f>A8</f>
        <v>Leden</v>
      </c>
      <c r="C43" s="69">
        <f>E14</f>
        <v>1232704.1458701808</v>
      </c>
      <c r="D43" s="69">
        <f>I14</f>
        <v>1044123.145869256</v>
      </c>
      <c r="H43" s="83" t="str">
        <f>A8</f>
        <v>Leden</v>
      </c>
      <c r="I43" s="84">
        <f>E14/E35</f>
        <v>0.42828203841802093</v>
      </c>
      <c r="J43" s="84">
        <f>I14/I35</f>
        <v>0.378709396635388</v>
      </c>
      <c r="K43" s="83"/>
    </row>
    <row r="44" spans="1:21" ht="15" customHeight="1">
      <c r="A44" s="83"/>
      <c r="B44" s="83" t="str">
        <f>A15</f>
        <v>Únor</v>
      </c>
      <c r="C44" s="69">
        <f>E21</f>
        <v>924543.36114139215</v>
      </c>
      <c r="D44" s="69">
        <f>I21</f>
        <v>961937.76684198377</v>
      </c>
      <c r="H44" s="83" t="str">
        <f>A15</f>
        <v>Únor</v>
      </c>
      <c r="I44" s="84">
        <f>E21/E35</f>
        <v>0.32121682777011118</v>
      </c>
      <c r="J44" s="84">
        <f>I21/I35</f>
        <v>0.34890029276981172</v>
      </c>
      <c r="K44" s="83"/>
    </row>
    <row r="45" spans="1:21" ht="15" customHeight="1">
      <c r="A45" s="83"/>
      <c r="B45" s="83" t="str">
        <f>A22</f>
        <v>Březen</v>
      </c>
      <c r="C45" s="69">
        <f>E28</f>
        <v>721005.68899804004</v>
      </c>
      <c r="D45" s="69">
        <f>I28</f>
        <v>750995.43483566795</v>
      </c>
      <c r="H45" s="83" t="str">
        <f>A22</f>
        <v>Březen</v>
      </c>
      <c r="I45" s="84">
        <f>E28/E35</f>
        <v>0.25050113381186767</v>
      </c>
      <c r="J45" s="84">
        <f>I28/I35</f>
        <v>0.27239031059480034</v>
      </c>
      <c r="K45" s="83"/>
    </row>
    <row r="46" spans="1:21" ht="15" customHeight="1">
      <c r="A46" s="83"/>
      <c r="B46" s="83"/>
      <c r="C46" s="69">
        <f>SUM(C43:C45)</f>
        <v>2878253.1960096126</v>
      </c>
      <c r="D46" s="69">
        <f>SUM(D43:D45)</f>
        <v>2757056.3475469081</v>
      </c>
      <c r="E46" s="83"/>
      <c r="F46" s="83"/>
      <c r="G46" s="83"/>
      <c r="H46" s="83"/>
      <c r="I46" s="85">
        <f>SUM(I43:I45)</f>
        <v>0.99999999999999978</v>
      </c>
      <c r="J46" s="85">
        <f>SUM(J43:J45)</f>
        <v>1</v>
      </c>
      <c r="K46" s="83"/>
    </row>
    <row r="47" spans="1:21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1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ht="1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ht="1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21">
    <mergeCell ref="A37:E37"/>
    <mergeCell ref="A38:E38"/>
    <mergeCell ref="G38:K38"/>
    <mergeCell ref="A8:B14"/>
    <mergeCell ref="A15:B21"/>
    <mergeCell ref="A22:B28"/>
    <mergeCell ref="A29:B35"/>
    <mergeCell ref="G36:K37"/>
    <mergeCell ref="A2:K2"/>
    <mergeCell ref="A3:C3"/>
    <mergeCell ref="I6:J6"/>
    <mergeCell ref="E6:F6"/>
    <mergeCell ref="G6:G7"/>
    <mergeCell ref="H6:H7"/>
    <mergeCell ref="K6:K7"/>
    <mergeCell ref="I4:K5"/>
    <mergeCell ref="D6:D7"/>
    <mergeCell ref="C6:C7"/>
    <mergeCell ref="A6:B7"/>
    <mergeCell ref="A4:C4"/>
    <mergeCell ref="D4:G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2"/>
  <sheetViews>
    <sheetView showGridLines="0" topLeftCell="A3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21" s="76" customFormat="1" ht="18">
      <c r="A1" s="446" t="s">
        <v>306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21" ht="6" customHeight="1">
      <c r="A2" s="452"/>
      <c r="B2" s="452"/>
      <c r="C2" s="452"/>
      <c r="D2" s="282"/>
      <c r="E2" s="282"/>
      <c r="F2" s="283"/>
      <c r="G2" s="284"/>
      <c r="H2" s="284"/>
      <c r="I2" s="284"/>
      <c r="J2" s="254"/>
      <c r="K2" s="254"/>
    </row>
    <row r="3" spans="1:21" ht="15" customHeight="1">
      <c r="A3" s="463" t="s">
        <v>242</v>
      </c>
      <c r="B3" s="463"/>
      <c r="C3" s="463"/>
      <c r="D3" s="308">
        <f>'3.1'!A4</f>
        <v>2026</v>
      </c>
      <c r="E3" s="458"/>
      <c r="F3" s="458"/>
      <c r="G3" s="458"/>
      <c r="H3" s="307"/>
      <c r="I3" s="457">
        <f>D3-1</f>
        <v>2025</v>
      </c>
      <c r="J3" s="458"/>
      <c r="K3" s="458"/>
    </row>
    <row r="4" spans="1:21" ht="50.1" customHeight="1">
      <c r="A4" s="464"/>
      <c r="B4" s="464"/>
      <c r="C4" s="464"/>
      <c r="D4" s="310"/>
      <c r="E4" s="460"/>
      <c r="F4" s="460"/>
      <c r="G4" s="460"/>
      <c r="H4" s="155"/>
      <c r="I4" s="459"/>
      <c r="J4" s="460"/>
      <c r="K4" s="460"/>
    </row>
    <row r="5" spans="1:21" ht="24.95" customHeight="1">
      <c r="A5" s="463" t="s">
        <v>155</v>
      </c>
      <c r="B5" s="463"/>
      <c r="C5" s="474" t="s">
        <v>180</v>
      </c>
      <c r="D5" s="461" t="s">
        <v>156</v>
      </c>
      <c r="E5" s="455" t="s">
        <v>59</v>
      </c>
      <c r="F5" s="455"/>
      <c r="G5" s="456" t="s">
        <v>32</v>
      </c>
      <c r="H5" s="456" t="s">
        <v>256</v>
      </c>
      <c r="I5" s="453" t="s">
        <v>59</v>
      </c>
      <c r="J5" s="454"/>
      <c r="K5" s="456" t="s">
        <v>32</v>
      </c>
    </row>
    <row r="6" spans="1:21" ht="22.5" customHeight="1">
      <c r="A6" s="464"/>
      <c r="B6" s="464"/>
      <c r="C6" s="475"/>
      <c r="D6" s="462"/>
      <c r="E6" s="199" t="s">
        <v>247</v>
      </c>
      <c r="F6" s="199" t="s">
        <v>248</v>
      </c>
      <c r="G6" s="451"/>
      <c r="H6" s="451"/>
      <c r="I6" s="201" t="s">
        <v>247</v>
      </c>
      <c r="J6" s="199" t="s">
        <v>248</v>
      </c>
      <c r="K6" s="451"/>
    </row>
    <row r="7" spans="1:21" ht="12.95" customHeight="1">
      <c r="A7" s="418" t="str">
        <f>'3.1'!D5</f>
        <v>Leden</v>
      </c>
      <c r="B7" s="418"/>
      <c r="C7" s="145" t="s">
        <v>4</v>
      </c>
      <c r="D7" s="279">
        <v>126</v>
      </c>
      <c r="E7" s="275">
        <v>25551.320681266003</v>
      </c>
      <c r="F7" s="275">
        <v>280045.92891999998</v>
      </c>
      <c r="G7" s="276">
        <f t="shared" ref="G7:G12" si="0">E7/$E$13</f>
        <v>0.17918748456007252</v>
      </c>
      <c r="H7" s="276">
        <f>(E7-I7)/I7</f>
        <v>0.20184121228299101</v>
      </c>
      <c r="I7" s="279">
        <v>21260.146864767001</v>
      </c>
      <c r="J7" s="275">
        <v>231795.37828999999</v>
      </c>
      <c r="K7" s="276">
        <f>I7/$I$13</f>
        <v>0.17568263309862253</v>
      </c>
      <c r="M7" s="79"/>
      <c r="N7" s="79"/>
      <c r="O7" s="79"/>
      <c r="P7" s="79"/>
      <c r="Q7" s="79"/>
      <c r="R7" s="79"/>
      <c r="S7" s="79"/>
      <c r="T7" s="79"/>
      <c r="U7" s="79"/>
    </row>
    <row r="8" spans="1:21" ht="12.95" customHeight="1">
      <c r="A8" s="412"/>
      <c r="B8" s="412"/>
      <c r="C8" s="135" t="s">
        <v>5</v>
      </c>
      <c r="D8" s="280">
        <v>1324</v>
      </c>
      <c r="E8" s="113">
        <v>26589.631042764999</v>
      </c>
      <c r="F8" s="113">
        <v>291425.95085000002</v>
      </c>
      <c r="G8" s="274">
        <f t="shared" si="0"/>
        <v>0.18646899553128729</v>
      </c>
      <c r="H8" s="274">
        <f t="shared" ref="H8:H11" si="1">(E8-I8)/I8</f>
        <v>0.1514418153634508</v>
      </c>
      <c r="I8" s="280">
        <v>23092.466061232997</v>
      </c>
      <c r="J8" s="113">
        <v>251772.80949000001</v>
      </c>
      <c r="K8" s="274">
        <f t="shared" ref="K8:K12" si="2">I8/$I$13</f>
        <v>0.19082395188441947</v>
      </c>
      <c r="L8" s="68"/>
      <c r="M8" s="79"/>
      <c r="N8" s="79"/>
      <c r="O8" s="79"/>
      <c r="P8" s="79"/>
      <c r="Q8" s="79"/>
      <c r="R8" s="79"/>
      <c r="S8" s="79"/>
    </row>
    <row r="9" spans="1:21" ht="12.95" customHeight="1">
      <c r="A9" s="412"/>
      <c r="B9" s="412"/>
      <c r="C9" s="135" t="s">
        <v>6</v>
      </c>
      <c r="D9" s="280">
        <v>37227</v>
      </c>
      <c r="E9" s="113">
        <v>39711.163471706997</v>
      </c>
      <c r="F9" s="113">
        <v>435239.72015590704</v>
      </c>
      <c r="G9" s="274">
        <f t="shared" si="0"/>
        <v>0.27848828560420413</v>
      </c>
      <c r="H9" s="274">
        <f t="shared" si="1"/>
        <v>0.17595159159951443</v>
      </c>
      <c r="I9" s="280">
        <v>33769.386219115004</v>
      </c>
      <c r="J9" s="113">
        <v>368181.259662561</v>
      </c>
      <c r="K9" s="274">
        <f t="shared" si="2"/>
        <v>0.27905238504868063</v>
      </c>
      <c r="L9" s="68"/>
      <c r="M9" s="79"/>
      <c r="N9" s="79"/>
      <c r="O9" s="79"/>
      <c r="P9" s="79"/>
      <c r="Q9" s="79"/>
      <c r="R9" s="79"/>
      <c r="S9" s="79"/>
    </row>
    <row r="10" spans="1:21" ht="12.95" customHeight="1">
      <c r="A10" s="412"/>
      <c r="B10" s="412"/>
      <c r="C10" s="135" t="s">
        <v>7</v>
      </c>
      <c r="D10" s="280">
        <v>354414</v>
      </c>
      <c r="E10" s="113">
        <v>47135.251816631004</v>
      </c>
      <c r="F10" s="113">
        <v>516608.73207014799</v>
      </c>
      <c r="G10" s="274">
        <f t="shared" si="0"/>
        <v>0.33055227604419929</v>
      </c>
      <c r="H10" s="274">
        <f t="shared" si="1"/>
        <v>0.18105329238116097</v>
      </c>
      <c r="I10" s="280">
        <v>39909.504609737</v>
      </c>
      <c r="J10" s="113">
        <v>435125.81438048795</v>
      </c>
      <c r="K10" s="274">
        <f t="shared" si="2"/>
        <v>0.32979108282265629</v>
      </c>
      <c r="L10" s="68"/>
      <c r="M10" s="79"/>
      <c r="N10" s="79"/>
      <c r="O10" s="79"/>
      <c r="P10" s="79"/>
      <c r="Q10" s="79"/>
      <c r="R10" s="79"/>
      <c r="S10" s="79"/>
    </row>
    <row r="11" spans="1:21" ht="12.95" customHeight="1">
      <c r="A11" s="412"/>
      <c r="B11" s="412"/>
      <c r="C11" s="135" t="s">
        <v>90</v>
      </c>
      <c r="D11" s="280">
        <v>40</v>
      </c>
      <c r="E11" s="113">
        <v>1100.504175559</v>
      </c>
      <c r="F11" s="113">
        <v>12061.67454</v>
      </c>
      <c r="G11" s="274">
        <f t="shared" si="0"/>
        <v>7.7176666296883984E-3</v>
      </c>
      <c r="H11" s="274">
        <f t="shared" si="1"/>
        <v>-5.2743136013065586E-2</v>
      </c>
      <c r="I11" s="280">
        <v>1161.7801014679999</v>
      </c>
      <c r="J11" s="113">
        <v>12666.669699999999</v>
      </c>
      <c r="K11" s="274">
        <f t="shared" si="2"/>
        <v>9.6003375990657801E-3</v>
      </c>
      <c r="L11" s="68"/>
      <c r="M11" s="79"/>
      <c r="N11" s="79"/>
      <c r="O11" s="79"/>
      <c r="P11" s="79"/>
      <c r="Q11" s="79"/>
      <c r="R11" s="79"/>
      <c r="S11" s="79"/>
    </row>
    <row r="12" spans="1:21" ht="12.95" customHeight="1">
      <c r="A12" s="412"/>
      <c r="B12" s="412"/>
      <c r="C12" s="135" t="s">
        <v>91</v>
      </c>
      <c r="D12" s="280"/>
      <c r="E12" s="113">
        <v>2507.5826407679997</v>
      </c>
      <c r="F12" s="113">
        <v>27483.444739999999</v>
      </c>
      <c r="G12" s="274">
        <f t="shared" si="0"/>
        <v>1.7585291630548266E-2</v>
      </c>
      <c r="H12" s="274">
        <f>(E12-I12)/I12</f>
        <v>0.37686891063042932</v>
      </c>
      <c r="I12" s="280">
        <v>1821.2210482840001</v>
      </c>
      <c r="J12" s="113">
        <v>19856.430179999999</v>
      </c>
      <c r="K12" s="274">
        <f t="shared" si="2"/>
        <v>1.5049609546555371E-2</v>
      </c>
      <c r="L12" s="68"/>
      <c r="M12" s="79"/>
      <c r="N12" s="79"/>
      <c r="O12" s="79"/>
      <c r="P12" s="79"/>
      <c r="Q12" s="79"/>
      <c r="R12" s="79"/>
      <c r="S12" s="79"/>
    </row>
    <row r="13" spans="1:21" ht="12.95" customHeight="1">
      <c r="A13" s="417"/>
      <c r="B13" s="417"/>
      <c r="C13" s="285" t="s">
        <v>0</v>
      </c>
      <c r="D13" s="288">
        <v>393131</v>
      </c>
      <c r="E13" s="286">
        <v>142595.45382869602</v>
      </c>
      <c r="F13" s="286">
        <v>1562865.4512760551</v>
      </c>
      <c r="G13" s="287">
        <f>SUM(G7:G12)</f>
        <v>0.99999999999999978</v>
      </c>
      <c r="H13" s="287">
        <f>(E13-I13)/I13</f>
        <v>0.17833357200530905</v>
      </c>
      <c r="I13" s="288">
        <v>121014.50490460399</v>
      </c>
      <c r="J13" s="286">
        <v>1319398.3617030489</v>
      </c>
      <c r="K13" s="287">
        <f>SUM(K7:K12)</f>
        <v>0.99999999999999989</v>
      </c>
      <c r="L13" s="68"/>
      <c r="M13" s="79"/>
      <c r="N13" s="79"/>
      <c r="O13" s="79"/>
      <c r="P13" s="79"/>
      <c r="Q13" s="79"/>
      <c r="R13" s="79"/>
      <c r="S13" s="79"/>
    </row>
    <row r="14" spans="1:21" ht="12.95" customHeight="1">
      <c r="A14" s="418" t="str">
        <f>'3.1'!E5</f>
        <v>Únor</v>
      </c>
      <c r="B14" s="418"/>
      <c r="C14" s="145" t="s">
        <v>4</v>
      </c>
      <c r="D14" s="279">
        <v>126</v>
      </c>
      <c r="E14" s="275">
        <v>18215.805079336002</v>
      </c>
      <c r="F14" s="275">
        <v>198924.4822</v>
      </c>
      <c r="G14" s="276">
        <f>E14/$E$20</f>
        <v>0.17928391294652132</v>
      </c>
      <c r="H14" s="276">
        <f>(E14-I14)/I14</f>
        <v>-8.0112977695529733E-2</v>
      </c>
      <c r="I14" s="279">
        <v>19802.219878809003</v>
      </c>
      <c r="J14" s="275">
        <v>215616.34365</v>
      </c>
      <c r="K14" s="276">
        <f>I14/$I$20</f>
        <v>0.17809728488315649</v>
      </c>
      <c r="L14" s="68"/>
      <c r="M14" s="79"/>
      <c r="N14" s="79"/>
      <c r="O14" s="79"/>
      <c r="P14" s="79"/>
      <c r="Q14" s="79"/>
      <c r="R14" s="79"/>
      <c r="S14" s="79"/>
    </row>
    <row r="15" spans="1:21" ht="12.95" customHeight="1">
      <c r="A15" s="412"/>
      <c r="B15" s="412"/>
      <c r="C15" s="135" t="s">
        <v>5</v>
      </c>
      <c r="D15" s="280">
        <v>1323</v>
      </c>
      <c r="E15" s="113">
        <v>18950.974727574998</v>
      </c>
      <c r="F15" s="113">
        <v>206952.85322000002</v>
      </c>
      <c r="G15" s="274">
        <f t="shared" ref="G15:G19" si="3">E15/$E$20</f>
        <v>0.18651961241968507</v>
      </c>
      <c r="H15" s="274">
        <f t="shared" ref="H15:H17" si="4">(E15-I15)/I15</f>
        <v>-0.11168584621967885</v>
      </c>
      <c r="I15" s="280">
        <v>21333.640409675998</v>
      </c>
      <c r="J15" s="113">
        <v>232291.20624</v>
      </c>
      <c r="K15" s="274">
        <f t="shared" ref="K15:K19" si="5">I15/$I$20</f>
        <v>0.19187058102020241</v>
      </c>
      <c r="L15" s="86"/>
      <c r="M15" s="79"/>
      <c r="N15" s="79"/>
      <c r="O15" s="79"/>
      <c r="P15" s="79"/>
      <c r="Q15" s="79"/>
      <c r="R15" s="79"/>
      <c r="S15" s="79"/>
    </row>
    <row r="16" spans="1:21" ht="12.95" customHeight="1">
      <c r="A16" s="412"/>
      <c r="B16" s="412"/>
      <c r="C16" s="135" t="s">
        <v>6</v>
      </c>
      <c r="D16" s="280">
        <v>37170</v>
      </c>
      <c r="E16" s="113">
        <v>28065.890800678</v>
      </c>
      <c r="F16" s="113">
        <v>306491.685143232</v>
      </c>
      <c r="G16" s="274">
        <f t="shared" si="3"/>
        <v>0.27623059761346247</v>
      </c>
      <c r="H16" s="274">
        <f t="shared" si="4"/>
        <v>-9.0858339927818429E-2</v>
      </c>
      <c r="I16" s="280">
        <v>30870.756487443003</v>
      </c>
      <c r="J16" s="113">
        <v>336136.03324620501</v>
      </c>
      <c r="K16" s="274">
        <f>I16/$I$20</f>
        <v>0.2776455340033</v>
      </c>
      <c r="L16" s="68"/>
      <c r="M16" s="79"/>
      <c r="N16" s="79"/>
      <c r="O16" s="79"/>
      <c r="P16" s="79"/>
      <c r="Q16" s="79"/>
      <c r="R16" s="79"/>
      <c r="S16" s="79"/>
    </row>
    <row r="17" spans="1:20" ht="12.95" customHeight="1">
      <c r="A17" s="412"/>
      <c r="B17" s="412"/>
      <c r="C17" s="135" t="s">
        <v>7</v>
      </c>
      <c r="D17" s="280">
        <v>354053</v>
      </c>
      <c r="E17" s="113">
        <v>33607.055356013996</v>
      </c>
      <c r="F17" s="113">
        <v>367003.60241256398</v>
      </c>
      <c r="G17" s="274">
        <f t="shared" si="3"/>
        <v>0.33076794358496542</v>
      </c>
      <c r="H17" s="274">
        <f t="shared" si="4"/>
        <v>-7.574313733838331E-2</v>
      </c>
      <c r="I17" s="280">
        <v>36361.163994210998</v>
      </c>
      <c r="J17" s="113">
        <v>395918.300032606</v>
      </c>
      <c r="K17" s="274">
        <f>I17/$I$20</f>
        <v>0.32702518314576229</v>
      </c>
      <c r="L17" s="68"/>
      <c r="M17" s="79"/>
      <c r="N17" s="79"/>
      <c r="O17" s="79"/>
      <c r="P17" s="79"/>
      <c r="Q17" s="79"/>
      <c r="R17" s="79"/>
      <c r="S17" s="79"/>
    </row>
    <row r="18" spans="1:20" ht="12.95" customHeight="1">
      <c r="A18" s="412"/>
      <c r="B18" s="412"/>
      <c r="C18" s="135" t="s">
        <v>90</v>
      </c>
      <c r="D18" s="280">
        <v>40</v>
      </c>
      <c r="E18" s="113">
        <v>980.32987729800004</v>
      </c>
      <c r="F18" s="113">
        <v>10705.626920000001</v>
      </c>
      <c r="G18" s="274">
        <f t="shared" si="3"/>
        <v>9.6486197351632642E-3</v>
      </c>
      <c r="H18" s="274">
        <f>(E18-I18)/I18</f>
        <v>-0.10192294052358575</v>
      </c>
      <c r="I18" s="280">
        <v>1091.5877061480001</v>
      </c>
      <c r="J18" s="113">
        <v>11885.745710000001</v>
      </c>
      <c r="K18" s="274">
        <f>I18/$I$20</f>
        <v>9.8175259070239322E-3</v>
      </c>
      <c r="L18" s="68"/>
      <c r="M18" s="79"/>
      <c r="N18" s="79"/>
      <c r="O18" s="79"/>
      <c r="P18" s="79"/>
      <c r="Q18" s="79"/>
      <c r="R18" s="79"/>
      <c r="S18" s="79"/>
    </row>
    <row r="19" spans="1:20" ht="12.95" customHeight="1">
      <c r="A19" s="412"/>
      <c r="B19" s="412"/>
      <c r="C19" s="135" t="s">
        <v>91</v>
      </c>
      <c r="D19" s="280"/>
      <c r="E19" s="113">
        <v>1783.065041281</v>
      </c>
      <c r="F19" s="113">
        <v>19471.842639999999</v>
      </c>
      <c r="G19" s="274">
        <f t="shared" si="3"/>
        <v>1.7549313700202428E-2</v>
      </c>
      <c r="H19" s="274">
        <f t="shared" ref="H19" si="6">(E19-I19)/I19</f>
        <v>3.1693898667855019E-2</v>
      </c>
      <c r="I19" s="280">
        <v>1728.2888302269998</v>
      </c>
      <c r="J19" s="113">
        <v>18818.461800000001</v>
      </c>
      <c r="K19" s="274">
        <f t="shared" si="5"/>
        <v>1.5543891040554793E-2</v>
      </c>
      <c r="L19" s="68"/>
      <c r="M19" s="79"/>
      <c r="N19" s="79"/>
      <c r="O19" s="79"/>
      <c r="P19" s="79"/>
      <c r="Q19" s="79"/>
      <c r="R19" s="79"/>
      <c r="S19" s="79"/>
    </row>
    <row r="20" spans="1:20" ht="12.95" customHeight="1">
      <c r="A20" s="417"/>
      <c r="B20" s="417"/>
      <c r="C20" s="285" t="s">
        <v>0</v>
      </c>
      <c r="D20" s="288">
        <v>392712</v>
      </c>
      <c r="E20" s="286">
        <v>101603.120882182</v>
      </c>
      <c r="F20" s="286">
        <v>1109550.0925357959</v>
      </c>
      <c r="G20" s="287">
        <f>SUM(G14:G19)</f>
        <v>1</v>
      </c>
      <c r="H20" s="287">
        <f>(E20-I20)/I20</f>
        <v>-8.6201442286980262E-2</v>
      </c>
      <c r="I20" s="288">
        <v>111187.65730651401</v>
      </c>
      <c r="J20" s="286">
        <v>1210666.0906788108</v>
      </c>
      <c r="K20" s="287">
        <f>SUM(K14:K19)</f>
        <v>0.99999999999999978</v>
      </c>
      <c r="L20" s="68"/>
      <c r="M20" s="79"/>
      <c r="N20" s="79"/>
      <c r="O20" s="79"/>
      <c r="P20" s="79"/>
      <c r="Q20" s="79"/>
      <c r="R20" s="79"/>
      <c r="S20" s="79"/>
    </row>
    <row r="21" spans="1:20" ht="12.95" customHeight="1">
      <c r="A21" s="418" t="str">
        <f>'3.1'!F5</f>
        <v>Březen</v>
      </c>
      <c r="B21" s="418"/>
      <c r="C21" s="145" t="s">
        <v>4</v>
      </c>
      <c r="D21" s="279">
        <v>127</v>
      </c>
      <c r="E21" s="275">
        <v>15543.336661997</v>
      </c>
      <c r="F21" s="275">
        <v>170902.51248999999</v>
      </c>
      <c r="G21" s="276">
        <f>E21/$E$27</f>
        <v>0.19246908360376438</v>
      </c>
      <c r="H21" s="276">
        <f>(E21-I21)/I21</f>
        <v>-1.9674481247763446E-2</v>
      </c>
      <c r="I21" s="279">
        <v>15855.28109253</v>
      </c>
      <c r="J21" s="275">
        <v>173496.08118000001</v>
      </c>
      <c r="K21" s="276">
        <f>I21/$I$27</f>
        <v>0.19292184032218304</v>
      </c>
      <c r="L21" s="78"/>
      <c r="M21" s="79"/>
      <c r="N21" s="79"/>
      <c r="O21" s="79"/>
      <c r="P21" s="79"/>
      <c r="Q21" s="79"/>
      <c r="R21" s="79"/>
      <c r="S21" s="79"/>
      <c r="T21" s="78"/>
    </row>
    <row r="22" spans="1:20" ht="12.95" customHeight="1">
      <c r="A22" s="412"/>
      <c r="B22" s="412"/>
      <c r="C22" s="135" t="s">
        <v>5</v>
      </c>
      <c r="D22" s="280">
        <v>1266</v>
      </c>
      <c r="E22" s="113">
        <v>14870.278348974</v>
      </c>
      <c r="F22" s="113">
        <v>163502.08366</v>
      </c>
      <c r="G22" s="274">
        <f t="shared" ref="G22:G26" si="7">E22/$E$27</f>
        <v>0.18413477807230402</v>
      </c>
      <c r="H22" s="274">
        <f t="shared" ref="H22:H26" si="8">(E22-I22)/I22</f>
        <v>-3.7032786449276607E-2</v>
      </c>
      <c r="I22" s="280">
        <v>15442.143968892999</v>
      </c>
      <c r="J22" s="113">
        <v>168975.33686000001</v>
      </c>
      <c r="K22" s="274">
        <f t="shared" ref="K22:K26" si="9">I22/$I$27</f>
        <v>0.18789492381831766</v>
      </c>
      <c r="L22" s="78"/>
      <c r="M22" s="79"/>
      <c r="N22" s="79"/>
      <c r="O22" s="79"/>
      <c r="P22" s="79"/>
      <c r="Q22" s="79"/>
      <c r="R22" s="79"/>
      <c r="S22" s="79"/>
      <c r="T22" s="78"/>
    </row>
    <row r="23" spans="1:20" ht="12.95" customHeight="1">
      <c r="A23" s="412"/>
      <c r="B23" s="412"/>
      <c r="C23" s="135" t="s">
        <v>6</v>
      </c>
      <c r="D23" s="280">
        <v>37204</v>
      </c>
      <c r="E23" s="113">
        <v>21558.699197239999</v>
      </c>
      <c r="F23" s="113">
        <v>237042.78810564999</v>
      </c>
      <c r="G23" s="274">
        <f t="shared" si="7"/>
        <v>0.2669557488468427</v>
      </c>
      <c r="H23" s="274">
        <f t="shared" si="8"/>
        <v>-2.1768263061055535E-2</v>
      </c>
      <c r="I23" s="280">
        <v>22038.437706694</v>
      </c>
      <c r="J23" s="113">
        <v>241155.142890674</v>
      </c>
      <c r="K23" s="274">
        <f t="shared" si="9"/>
        <v>0.26815645433144203</v>
      </c>
      <c r="L23" s="78"/>
      <c r="M23" s="79"/>
      <c r="N23" s="79"/>
      <c r="O23" s="79"/>
      <c r="P23" s="79"/>
      <c r="Q23" s="79"/>
      <c r="R23" s="79"/>
      <c r="S23" s="79"/>
      <c r="T23" s="78"/>
    </row>
    <row r="24" spans="1:20" ht="12.95" customHeight="1">
      <c r="A24" s="412"/>
      <c r="B24" s="412"/>
      <c r="C24" s="135" t="s">
        <v>7</v>
      </c>
      <c r="D24" s="280">
        <v>353677</v>
      </c>
      <c r="E24" s="113">
        <v>25891.631827065001</v>
      </c>
      <c r="F24" s="113">
        <v>284684.36526439298</v>
      </c>
      <c r="G24" s="274">
        <f t="shared" si="7"/>
        <v>0.32060932341157977</v>
      </c>
      <c r="H24" s="274">
        <f t="shared" si="8"/>
        <v>-1.310514467269072E-2</v>
      </c>
      <c r="I24" s="280">
        <v>26235.451210735002</v>
      </c>
      <c r="J24" s="113">
        <v>287080.87522939499</v>
      </c>
      <c r="K24" s="274">
        <f t="shared" si="9"/>
        <v>0.31922433287180557</v>
      </c>
      <c r="L24" s="78"/>
      <c r="M24" s="79"/>
      <c r="N24" s="79"/>
      <c r="O24" s="79"/>
      <c r="P24" s="79"/>
      <c r="Q24" s="79"/>
      <c r="R24" s="79"/>
      <c r="S24" s="79"/>
      <c r="T24" s="78"/>
    </row>
    <row r="25" spans="1:20" ht="12.95" customHeight="1">
      <c r="A25" s="412"/>
      <c r="B25" s="412"/>
      <c r="C25" s="135" t="s">
        <v>90</v>
      </c>
      <c r="D25" s="280">
        <v>40</v>
      </c>
      <c r="E25" s="113">
        <v>1081.2603950929999</v>
      </c>
      <c r="F25" s="113">
        <v>11888.703320000001</v>
      </c>
      <c r="G25" s="274">
        <f t="shared" si="7"/>
        <v>1.338896543941011E-2</v>
      </c>
      <c r="H25" s="274">
        <f t="shared" si="8"/>
        <v>-8.3474038531011513E-2</v>
      </c>
      <c r="I25" s="280">
        <v>1179.737880376</v>
      </c>
      <c r="J25" s="113">
        <v>12909.25704</v>
      </c>
      <c r="K25" s="274">
        <f t="shared" si="9"/>
        <v>1.4354662124984884E-2</v>
      </c>
      <c r="L25" s="78"/>
      <c r="M25" s="79"/>
      <c r="N25" s="79"/>
      <c r="O25" s="79"/>
      <c r="P25" s="79"/>
      <c r="Q25" s="79"/>
      <c r="R25" s="79"/>
      <c r="S25" s="79"/>
      <c r="T25" s="78"/>
    </row>
    <row r="26" spans="1:20" ht="12.95" customHeight="1">
      <c r="A26" s="412"/>
      <c r="B26" s="412"/>
      <c r="C26" s="135" t="s">
        <v>91</v>
      </c>
      <c r="D26" s="280"/>
      <c r="E26" s="113">
        <v>1812.3696486859999</v>
      </c>
      <c r="F26" s="113">
        <v>19927.415410000001</v>
      </c>
      <c r="G26" s="274">
        <f t="shared" si="7"/>
        <v>2.2442100626099026E-2</v>
      </c>
      <c r="H26" s="274">
        <f t="shared" si="8"/>
        <v>0.26390342762402508</v>
      </c>
      <c r="I26" s="280">
        <v>1433.946304025</v>
      </c>
      <c r="J26" s="113">
        <v>15690.927390000001</v>
      </c>
      <c r="K26" s="274">
        <f t="shared" si="9"/>
        <v>1.7447786531266895E-2</v>
      </c>
      <c r="L26" s="78"/>
      <c r="M26" s="79"/>
      <c r="N26" s="79"/>
      <c r="O26" s="79"/>
      <c r="P26" s="79"/>
      <c r="Q26" s="79"/>
      <c r="R26" s="79"/>
      <c r="S26" s="79"/>
      <c r="T26" s="78"/>
    </row>
    <row r="27" spans="1:20" ht="12.95" customHeight="1">
      <c r="A27" s="417"/>
      <c r="B27" s="417"/>
      <c r="C27" s="285" t="s">
        <v>0</v>
      </c>
      <c r="D27" s="288">
        <v>392314</v>
      </c>
      <c r="E27" s="286">
        <v>80757.576079054998</v>
      </c>
      <c r="F27" s="286">
        <v>887947.8682500429</v>
      </c>
      <c r="G27" s="287">
        <f>SUM(G21:G26)</f>
        <v>1</v>
      </c>
      <c r="H27" s="287">
        <f>(E27-I27)/I27</f>
        <v>-1.7368401972371588E-2</v>
      </c>
      <c r="I27" s="288">
        <v>82184.998163252996</v>
      </c>
      <c r="J27" s="286">
        <v>899307.62059006898</v>
      </c>
      <c r="K27" s="287">
        <f>SUM(K21:K26)</f>
        <v>1.0000000000000002</v>
      </c>
      <c r="M27" s="79"/>
      <c r="N27" s="79"/>
      <c r="O27" s="79"/>
      <c r="P27" s="79"/>
      <c r="Q27" s="79"/>
      <c r="R27" s="79"/>
      <c r="S27" s="79"/>
    </row>
    <row r="28" spans="1:20" ht="12.95" customHeight="1">
      <c r="A28" s="476" t="str">
        <f>'3.1'!G5</f>
        <v>I. čtvrtletí</v>
      </c>
      <c r="B28" s="476"/>
      <c r="C28" s="145" t="s">
        <v>4</v>
      </c>
      <c r="D28" s="279">
        <f>D21</f>
        <v>127</v>
      </c>
      <c r="E28" s="275">
        <f>E7+E14+E21</f>
        <v>59310.462422599012</v>
      </c>
      <c r="F28" s="275">
        <f>F7+F14+F21</f>
        <v>649872.92360999994</v>
      </c>
      <c r="G28" s="276">
        <f>E28/$E$34</f>
        <v>0.1825183560256414</v>
      </c>
      <c r="H28" s="276">
        <f>(E28-I28)/I28</f>
        <v>4.2039941520125815E-2</v>
      </c>
      <c r="I28" s="279">
        <f>I7+I14+I21</f>
        <v>56917.647836106</v>
      </c>
      <c r="J28" s="275">
        <f>J7+J14+J21</f>
        <v>620907.80311999994</v>
      </c>
      <c r="K28" s="276">
        <f>I28/$I$34</f>
        <v>0.18104316909230228</v>
      </c>
      <c r="M28" s="79"/>
      <c r="N28" s="79"/>
      <c r="O28" s="79"/>
      <c r="P28" s="79"/>
      <c r="Q28" s="79"/>
      <c r="R28" s="79"/>
      <c r="S28" s="79"/>
    </row>
    <row r="29" spans="1:20" ht="12.95" customHeight="1">
      <c r="A29" s="477"/>
      <c r="B29" s="477"/>
      <c r="C29" s="135" t="s">
        <v>5</v>
      </c>
      <c r="D29" s="280">
        <f t="shared" ref="D29:D32" si="10">D22</f>
        <v>1266</v>
      </c>
      <c r="E29" s="113">
        <f>E8+E15+E22</f>
        <v>60410.884119313996</v>
      </c>
      <c r="F29" s="113">
        <f t="shared" ref="F29" si="11">F8+F15+F22</f>
        <v>661880.88773000007</v>
      </c>
      <c r="G29" s="274">
        <f t="shared" ref="G29:G33" si="12">E29/$E$34</f>
        <v>0.18590472582981338</v>
      </c>
      <c r="H29" s="274">
        <f t="shared" ref="H29:H31" si="13">(E29-I29)/I29</f>
        <v>9.0637971800699782E-3</v>
      </c>
      <c r="I29" s="280">
        <f>I8+I15+I22</f>
        <v>59868.250439801996</v>
      </c>
      <c r="J29" s="113">
        <f t="shared" ref="J29" si="14">J8+J15+J22</f>
        <v>653039.35259000002</v>
      </c>
      <c r="K29" s="274">
        <f t="shared" ref="K29:K33" si="15">I29/$I$34</f>
        <v>0.19042842070430333</v>
      </c>
      <c r="M29" s="79"/>
      <c r="N29" s="79"/>
      <c r="O29" s="79"/>
      <c r="P29" s="79"/>
      <c r="Q29" s="79"/>
      <c r="R29" s="79"/>
      <c r="S29" s="79"/>
    </row>
    <row r="30" spans="1:20" ht="12.95" customHeight="1">
      <c r="A30" s="477"/>
      <c r="B30" s="477"/>
      <c r="C30" s="135" t="s">
        <v>6</v>
      </c>
      <c r="D30" s="280">
        <f t="shared" si="10"/>
        <v>37204</v>
      </c>
      <c r="E30" s="113">
        <f t="shared" ref="E30:F33" si="16">E9+E16+E23</f>
        <v>89335.753469624993</v>
      </c>
      <c r="F30" s="113">
        <f t="shared" si="16"/>
        <v>978774.19340478897</v>
      </c>
      <c r="G30" s="274">
        <f t="shared" si="12"/>
        <v>0.27491633333438836</v>
      </c>
      <c r="H30" s="274">
        <f t="shared" si="13"/>
        <v>3.065547501706371E-2</v>
      </c>
      <c r="I30" s="280">
        <f t="shared" ref="I30:J32" si="17">I9+I16+I23</f>
        <v>86678.580413251999</v>
      </c>
      <c r="J30" s="113">
        <f t="shared" si="17"/>
        <v>945472.43579944014</v>
      </c>
      <c r="K30" s="274">
        <f t="shared" si="15"/>
        <v>0.27570648976260825</v>
      </c>
      <c r="M30" s="79"/>
      <c r="N30" s="79"/>
      <c r="O30" s="79"/>
      <c r="P30" s="79"/>
      <c r="Q30" s="79"/>
      <c r="R30" s="79"/>
      <c r="S30" s="79"/>
    </row>
    <row r="31" spans="1:20" ht="12.95" customHeight="1">
      <c r="A31" s="477"/>
      <c r="B31" s="477"/>
      <c r="C31" s="135" t="s">
        <v>7</v>
      </c>
      <c r="D31" s="280">
        <f t="shared" si="10"/>
        <v>353677</v>
      </c>
      <c r="E31" s="113">
        <f>E10+E17+E24</f>
        <v>106633.93899970999</v>
      </c>
      <c r="F31" s="113">
        <f t="shared" si="16"/>
        <v>1168296.6997471049</v>
      </c>
      <c r="G31" s="274">
        <f t="shared" si="12"/>
        <v>0.32814870172635441</v>
      </c>
      <c r="H31" s="274">
        <f t="shared" si="13"/>
        <v>4.0269002401900733E-2</v>
      </c>
      <c r="I31" s="280">
        <f>I10+I17+I24</f>
        <v>102506.119814683</v>
      </c>
      <c r="J31" s="113">
        <f t="shared" si="17"/>
        <v>1118124.989642489</v>
      </c>
      <c r="K31" s="274">
        <f t="shared" si="15"/>
        <v>0.32605059218264232</v>
      </c>
      <c r="M31" s="79"/>
      <c r="N31" s="79"/>
      <c r="O31" s="79"/>
      <c r="P31" s="79"/>
      <c r="Q31" s="79"/>
      <c r="R31" s="79"/>
      <c r="S31" s="79"/>
    </row>
    <row r="32" spans="1:20" ht="12.95" customHeight="1">
      <c r="A32" s="477"/>
      <c r="B32" s="477"/>
      <c r="C32" s="135" t="s">
        <v>90</v>
      </c>
      <c r="D32" s="280">
        <f t="shared" si="10"/>
        <v>40</v>
      </c>
      <c r="E32" s="113">
        <f>E11+E18+E25</f>
        <v>3162.0944479500004</v>
      </c>
      <c r="F32" s="113">
        <f t="shared" si="16"/>
        <v>34656.004780000003</v>
      </c>
      <c r="G32" s="274">
        <f t="shared" si="12"/>
        <v>9.7308342687568543E-3</v>
      </c>
      <c r="H32" s="274">
        <f>(E32-I32)/I32</f>
        <v>-7.894054674457518E-2</v>
      </c>
      <c r="I32" s="280">
        <f>I11+I18+I25</f>
        <v>3433.1056879919997</v>
      </c>
      <c r="J32" s="113">
        <f t="shared" si="17"/>
        <v>37461.672449999998</v>
      </c>
      <c r="K32" s="274">
        <f t="shared" si="15"/>
        <v>1.0919993309853594E-2</v>
      </c>
      <c r="M32" s="79"/>
      <c r="N32" s="79"/>
      <c r="O32" s="79"/>
      <c r="P32" s="79"/>
      <c r="Q32" s="79"/>
      <c r="R32" s="79"/>
      <c r="S32" s="79"/>
    </row>
    <row r="33" spans="1:20" ht="12.95" customHeight="1">
      <c r="A33" s="477"/>
      <c r="B33" s="477"/>
      <c r="C33" s="135" t="s">
        <v>91</v>
      </c>
      <c r="D33" s="280"/>
      <c r="E33" s="113">
        <f t="shared" si="16"/>
        <v>6103.0173307349996</v>
      </c>
      <c r="F33" s="113">
        <f t="shared" si="16"/>
        <v>66882.702789999996</v>
      </c>
      <c r="G33" s="274">
        <f t="shared" si="12"/>
        <v>1.8781048815045442E-2</v>
      </c>
      <c r="H33" s="274">
        <f t="shared" ref="H33" si="18">(E33-I33)/I33</f>
        <v>0.22465556176100931</v>
      </c>
      <c r="I33" s="280">
        <f t="shared" ref="I33:J33" si="19">I12+I19+I26</f>
        <v>4983.4561825359997</v>
      </c>
      <c r="J33" s="113">
        <f t="shared" si="19"/>
        <v>54365.819369999997</v>
      </c>
      <c r="K33" s="274">
        <f t="shared" si="15"/>
        <v>1.5851334948290254E-2</v>
      </c>
      <c r="M33" s="79"/>
      <c r="N33" s="79"/>
      <c r="O33" s="79"/>
      <c r="P33" s="79"/>
      <c r="Q33" s="79"/>
      <c r="R33" s="79"/>
      <c r="S33" s="79"/>
    </row>
    <row r="34" spans="1:20" ht="12.95" customHeight="1">
      <c r="A34" s="478"/>
      <c r="B34" s="478"/>
      <c r="C34" s="285" t="s">
        <v>0</v>
      </c>
      <c r="D34" s="288">
        <f>SUM(D28:D33)</f>
        <v>392314</v>
      </c>
      <c r="E34" s="286">
        <f>SUM(E28:E33)</f>
        <v>324956.15078993305</v>
      </c>
      <c r="F34" s="286">
        <f>SUM(F28:F33)</f>
        <v>3560363.4120618938</v>
      </c>
      <c r="G34" s="287">
        <f>SUM(G28:G33)</f>
        <v>0.99999999999999978</v>
      </c>
      <c r="H34" s="287">
        <f>(E34-I34)/I34</f>
        <v>3.3617754627690739E-2</v>
      </c>
      <c r="I34" s="288">
        <f>SUM(I28:I33)</f>
        <v>314387.16037437099</v>
      </c>
      <c r="J34" s="286">
        <f>SUM(J28:J33)</f>
        <v>3429372.0729719289</v>
      </c>
      <c r="K34" s="287">
        <f>SUM(K28:K33)</f>
        <v>1</v>
      </c>
      <c r="M34" s="79"/>
      <c r="N34" s="79"/>
      <c r="O34" s="79"/>
      <c r="P34" s="79"/>
      <c r="Q34" s="79"/>
      <c r="R34" s="79"/>
      <c r="S34" s="79"/>
    </row>
    <row r="35" spans="1:20" ht="20.100000000000001" customHeight="1">
      <c r="A35" s="110"/>
      <c r="B35" s="270"/>
      <c r="C35" s="90"/>
      <c r="D35" s="78"/>
      <c r="E35" s="78"/>
      <c r="F35" s="78"/>
      <c r="G35" s="473" t="s">
        <v>258</v>
      </c>
      <c r="H35" s="473"/>
      <c r="I35" s="473"/>
      <c r="J35" s="473"/>
      <c r="K35" s="473"/>
    </row>
    <row r="36" spans="1:20" ht="15" customHeight="1">
      <c r="A36" s="465" t="s">
        <v>257</v>
      </c>
      <c r="B36" s="465"/>
      <c r="C36" s="465"/>
      <c r="D36" s="465"/>
      <c r="E36" s="465"/>
      <c r="F36" s="104"/>
      <c r="G36" s="473"/>
      <c r="H36" s="473"/>
      <c r="I36" s="473"/>
      <c r="J36" s="473"/>
      <c r="K36" s="473"/>
      <c r="M36" s="68"/>
      <c r="N36" s="68"/>
      <c r="O36" s="68"/>
      <c r="P36" s="68"/>
      <c r="Q36" s="68"/>
      <c r="R36" s="68"/>
      <c r="S36" s="68"/>
    </row>
    <row r="37" spans="1:20" ht="15" customHeight="1">
      <c r="A37" s="466" t="str">
        <f>A28</f>
        <v>I. čtvrtletí</v>
      </c>
      <c r="B37" s="467"/>
      <c r="C37" s="467"/>
      <c r="D37" s="467"/>
      <c r="E37" s="467"/>
      <c r="F37" s="109"/>
      <c r="G37" s="468" t="str">
        <f>A28</f>
        <v>I. čtvrtletí</v>
      </c>
      <c r="H37" s="468"/>
      <c r="I37" s="468"/>
      <c r="J37" s="468"/>
      <c r="K37" s="468"/>
      <c r="M37" s="68"/>
      <c r="N37" s="68"/>
      <c r="O37" s="68"/>
      <c r="P37" s="68"/>
      <c r="Q37" s="68"/>
      <c r="R37" s="68"/>
      <c r="S37" s="68"/>
    </row>
    <row r="38" spans="1:20" ht="15" customHeight="1">
      <c r="A38" s="83"/>
      <c r="B38" s="83"/>
      <c r="C38" s="83"/>
      <c r="G38" s="83"/>
      <c r="H38" s="83"/>
      <c r="I38" s="83"/>
      <c r="J38" s="83"/>
      <c r="K38" s="83"/>
      <c r="M38" s="68"/>
      <c r="N38" s="68"/>
      <c r="O38" s="68"/>
      <c r="P38" s="68"/>
      <c r="Q38" s="68"/>
      <c r="R38" s="68"/>
      <c r="S38" s="68"/>
      <c r="T38" s="68"/>
    </row>
    <row r="39" spans="1:20" ht="15" customHeight="1">
      <c r="A39" s="83"/>
      <c r="B39" s="83"/>
      <c r="C39" s="83"/>
      <c r="G39" s="83"/>
      <c r="H39" s="83"/>
      <c r="I39" s="83"/>
      <c r="J39" s="83"/>
      <c r="K39" s="83"/>
    </row>
    <row r="40" spans="1:20" ht="15" customHeight="1">
      <c r="A40" s="83"/>
      <c r="B40" s="83"/>
      <c r="C40" s="83"/>
      <c r="G40" s="83"/>
      <c r="H40" s="83"/>
      <c r="I40" s="83"/>
      <c r="J40" s="83"/>
      <c r="K40" s="83"/>
    </row>
    <row r="41" spans="1:20" ht="15" customHeight="1">
      <c r="A41" s="83"/>
      <c r="B41" s="83"/>
      <c r="C41" s="83">
        <f>D3</f>
        <v>2026</v>
      </c>
      <c r="D41" s="83">
        <f>I3</f>
        <v>2025</v>
      </c>
      <c r="H41" s="83"/>
      <c r="I41" s="83">
        <f>D3</f>
        <v>2026</v>
      </c>
      <c r="J41" s="83">
        <f>I3</f>
        <v>2025</v>
      </c>
      <c r="K41" s="83"/>
    </row>
    <row r="42" spans="1:20" ht="15" customHeight="1">
      <c r="A42" s="83"/>
      <c r="B42" s="83" t="str">
        <f>A7</f>
        <v>Leden</v>
      </c>
      <c r="C42" s="69">
        <f>E13</f>
        <v>142595.45382869602</v>
      </c>
      <c r="D42" s="69">
        <f>I13</f>
        <v>121014.50490460399</v>
      </c>
      <c r="H42" s="83" t="str">
        <f>A7</f>
        <v>Leden</v>
      </c>
      <c r="I42" s="84">
        <f>E13/E34</f>
        <v>0.43881444767874678</v>
      </c>
      <c r="J42" s="84">
        <f>I13/I34</f>
        <v>0.38492190571809737</v>
      </c>
      <c r="K42" s="83"/>
    </row>
    <row r="43" spans="1:20" ht="15" customHeight="1">
      <c r="A43" s="83"/>
      <c r="B43" s="83" t="str">
        <f>A14</f>
        <v>Únor</v>
      </c>
      <c r="C43" s="69">
        <f>E20</f>
        <v>101603.120882182</v>
      </c>
      <c r="D43" s="69">
        <f>I20</f>
        <v>111187.65730651401</v>
      </c>
      <c r="H43" s="83" t="str">
        <f>A14</f>
        <v>Únor</v>
      </c>
      <c r="I43" s="84">
        <f>E20/E34</f>
        <v>0.3126671725868117</v>
      </c>
      <c r="J43" s="84">
        <f>I20/I34</f>
        <v>0.35366475263847352</v>
      </c>
      <c r="K43" s="83"/>
    </row>
    <row r="44" spans="1:20" ht="15" customHeight="1">
      <c r="A44" s="83"/>
      <c r="B44" s="83" t="str">
        <f>A21</f>
        <v>Březen</v>
      </c>
      <c r="C44" s="69">
        <f>E27</f>
        <v>80757.576079054998</v>
      </c>
      <c r="D44" s="69">
        <f>I27</f>
        <v>82184.998163252996</v>
      </c>
      <c r="H44" s="83" t="str">
        <f>A21</f>
        <v>Březen</v>
      </c>
      <c r="I44" s="84">
        <f>E27/E34</f>
        <v>0.24851837973444146</v>
      </c>
      <c r="J44" s="84">
        <f>I27/I34</f>
        <v>0.26141334164342916</v>
      </c>
      <c r="K44" s="83"/>
    </row>
    <row r="45" spans="1:20" ht="15" customHeight="1">
      <c r="A45" s="83"/>
      <c r="B45" s="83"/>
      <c r="C45" s="69">
        <f>SUM(C42:C44)</f>
        <v>324956.15078993305</v>
      </c>
      <c r="D45" s="69">
        <f>SUM(D42:D44)</f>
        <v>314387.16037437099</v>
      </c>
      <c r="E45" s="83"/>
      <c r="F45" s="83"/>
      <c r="G45" s="83"/>
      <c r="H45" s="83"/>
      <c r="I45" s="85">
        <f>SUM(I42:I44)</f>
        <v>1</v>
      </c>
      <c r="J45" s="85">
        <f>SUM(J42:J44)</f>
        <v>1</v>
      </c>
      <c r="K45" s="83"/>
    </row>
    <row r="46" spans="1:20" ht="1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20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0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ht="1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ht="1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E3:G4"/>
    <mergeCell ref="I3:K4"/>
    <mergeCell ref="A3:C4"/>
    <mergeCell ref="D5:D6"/>
    <mergeCell ref="C5:C6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2"/>
  <sheetViews>
    <sheetView showGridLines="0" topLeftCell="A3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21" s="76" customFormat="1" ht="18">
      <c r="A1" s="446" t="s">
        <v>284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21" ht="6" customHeight="1">
      <c r="A2" s="452"/>
      <c r="B2" s="452"/>
      <c r="C2" s="452"/>
      <c r="D2" s="282"/>
      <c r="E2" s="282"/>
      <c r="F2" s="283"/>
      <c r="G2" s="284"/>
      <c r="H2" s="284"/>
      <c r="I2" s="284"/>
      <c r="J2" s="254"/>
      <c r="K2" s="254"/>
    </row>
    <row r="3" spans="1:21" ht="15" customHeight="1">
      <c r="A3" s="463" t="s">
        <v>85</v>
      </c>
      <c r="B3" s="463"/>
      <c r="C3" s="463"/>
      <c r="D3" s="308">
        <f>'3.1'!A4</f>
        <v>2026</v>
      </c>
      <c r="E3" s="458"/>
      <c r="F3" s="458"/>
      <c r="G3" s="458"/>
      <c r="H3" s="307"/>
      <c r="I3" s="457">
        <f>D3-1</f>
        <v>2025</v>
      </c>
      <c r="J3" s="458"/>
      <c r="K3" s="458"/>
    </row>
    <row r="4" spans="1:21" ht="50.1" customHeight="1">
      <c r="A4" s="464"/>
      <c r="B4" s="464"/>
      <c r="C4" s="464"/>
      <c r="D4" s="310"/>
      <c r="E4" s="460"/>
      <c r="F4" s="460"/>
      <c r="G4" s="460"/>
      <c r="H4" s="155"/>
      <c r="I4" s="459"/>
      <c r="J4" s="460"/>
      <c r="K4" s="460"/>
    </row>
    <row r="5" spans="1:21" ht="24.95" customHeight="1">
      <c r="A5" s="463" t="s">
        <v>155</v>
      </c>
      <c r="B5" s="463"/>
      <c r="C5" s="474" t="s">
        <v>180</v>
      </c>
      <c r="D5" s="461" t="s">
        <v>156</v>
      </c>
      <c r="E5" s="455" t="s">
        <v>59</v>
      </c>
      <c r="F5" s="455"/>
      <c r="G5" s="456" t="s">
        <v>32</v>
      </c>
      <c r="H5" s="456" t="s">
        <v>256</v>
      </c>
      <c r="I5" s="453" t="s">
        <v>59</v>
      </c>
      <c r="J5" s="454"/>
      <c r="K5" s="456" t="s">
        <v>32</v>
      </c>
    </row>
    <row r="6" spans="1:21" ht="22.5" customHeight="1">
      <c r="A6" s="464"/>
      <c r="B6" s="464"/>
      <c r="C6" s="475"/>
      <c r="D6" s="462"/>
      <c r="E6" s="199" t="s">
        <v>247</v>
      </c>
      <c r="F6" s="199" t="s">
        <v>248</v>
      </c>
      <c r="G6" s="451"/>
      <c r="H6" s="451"/>
      <c r="I6" s="201" t="s">
        <v>247</v>
      </c>
      <c r="J6" s="199" t="s">
        <v>248</v>
      </c>
      <c r="K6" s="451"/>
    </row>
    <row r="7" spans="1:21" ht="12.95" customHeight="1">
      <c r="A7" s="418" t="str">
        <f>'3.1'!D5</f>
        <v>Leden</v>
      </c>
      <c r="B7" s="418"/>
      <c r="C7" s="145" t="s">
        <v>4</v>
      </c>
      <c r="D7" s="279">
        <v>1212</v>
      </c>
      <c r="E7" s="275">
        <v>351628.484</v>
      </c>
      <c r="F7" s="275">
        <v>3848744.9789599995</v>
      </c>
      <c r="G7" s="276">
        <f t="shared" ref="G7:G12" si="0">E7/$E$13</f>
        <v>0.36906726358542347</v>
      </c>
      <c r="H7" s="276">
        <f>(E7-I7)/I7</f>
        <v>0.10003246522233125</v>
      </c>
      <c r="I7" s="279">
        <v>319652.82400000002</v>
      </c>
      <c r="J7" s="275">
        <v>3473856.79831</v>
      </c>
      <c r="K7" s="276">
        <f>I7/$I$13</f>
        <v>0.38056845017889501</v>
      </c>
      <c r="M7" s="79"/>
      <c r="N7" s="79"/>
      <c r="O7" s="79"/>
      <c r="P7" s="79"/>
      <c r="Q7" s="79"/>
      <c r="R7" s="79"/>
      <c r="S7" s="79"/>
      <c r="T7" s="79"/>
      <c r="U7" s="79"/>
    </row>
    <row r="8" spans="1:21" ht="12.95" customHeight="1">
      <c r="A8" s="412"/>
      <c r="B8" s="412"/>
      <c r="C8" s="135" t="s">
        <v>5</v>
      </c>
      <c r="D8" s="280">
        <v>3865</v>
      </c>
      <c r="E8" s="113">
        <v>84675.193999999989</v>
      </c>
      <c r="F8" s="113">
        <v>926812.20406000013</v>
      </c>
      <c r="G8" s="274">
        <f t="shared" si="0"/>
        <v>8.8874603637471156E-2</v>
      </c>
      <c r="H8" s="274">
        <f t="shared" ref="H8:H11" si="1">(E8-I8)/I8</f>
        <v>0.13541532156966646</v>
      </c>
      <c r="I8" s="280">
        <v>74576.405999999988</v>
      </c>
      <c r="J8" s="113">
        <v>810467.77775999997</v>
      </c>
      <c r="K8" s="274">
        <f t="shared" ref="K8:K12" si="2">I8/$I$13</f>
        <v>8.8788288794633144E-2</v>
      </c>
      <c r="L8" s="68"/>
      <c r="M8" s="79"/>
      <c r="N8" s="79"/>
      <c r="O8" s="79"/>
      <c r="P8" s="79"/>
      <c r="Q8" s="79"/>
      <c r="R8" s="79"/>
      <c r="S8" s="79"/>
    </row>
    <row r="9" spans="1:21" ht="12.95" customHeight="1">
      <c r="A9" s="412"/>
      <c r="B9" s="412"/>
      <c r="C9" s="135" t="s">
        <v>6</v>
      </c>
      <c r="D9" s="280">
        <v>151596</v>
      </c>
      <c r="E9" s="113">
        <v>164379.80299999999</v>
      </c>
      <c r="F9" s="113">
        <v>1799214.2907399999</v>
      </c>
      <c r="G9" s="274">
        <f t="shared" si="0"/>
        <v>0.1725321094349142</v>
      </c>
      <c r="H9" s="274">
        <f t="shared" si="1"/>
        <v>0.17931299863259648</v>
      </c>
      <c r="I9" s="280">
        <v>139386.06899999999</v>
      </c>
      <c r="J9" s="113">
        <v>1514786.6214999999</v>
      </c>
      <c r="K9" s="274">
        <f t="shared" si="2"/>
        <v>0.16594860508993506</v>
      </c>
      <c r="L9" s="68"/>
      <c r="M9" s="79"/>
      <c r="N9" s="79"/>
      <c r="O9" s="79"/>
      <c r="P9" s="79"/>
      <c r="Q9" s="79"/>
      <c r="R9" s="79"/>
      <c r="S9" s="79"/>
    </row>
    <row r="10" spans="1:21" ht="12.95" customHeight="1">
      <c r="A10" s="412"/>
      <c r="B10" s="412"/>
      <c r="C10" s="135" t="s">
        <v>7</v>
      </c>
      <c r="D10" s="280">
        <v>2029965</v>
      </c>
      <c r="E10" s="113">
        <v>333073.3</v>
      </c>
      <c r="F10" s="113">
        <v>3645651.9</v>
      </c>
      <c r="G10" s="274">
        <f t="shared" si="0"/>
        <v>0.34959184763987106</v>
      </c>
      <c r="H10" s="274">
        <f t="shared" si="1"/>
        <v>0.18129153782014187</v>
      </c>
      <c r="I10" s="280">
        <v>281956.90000000002</v>
      </c>
      <c r="J10" s="113">
        <v>3064193.7</v>
      </c>
      <c r="K10" s="274">
        <f t="shared" si="2"/>
        <v>0.33568888617184778</v>
      </c>
      <c r="L10" s="68"/>
      <c r="M10" s="79"/>
      <c r="N10" s="79"/>
      <c r="O10" s="79"/>
      <c r="P10" s="79"/>
      <c r="Q10" s="79"/>
      <c r="R10" s="79"/>
      <c r="S10" s="79"/>
    </row>
    <row r="11" spans="1:21" ht="12.95" customHeight="1">
      <c r="A11" s="412"/>
      <c r="B11" s="412"/>
      <c r="C11" s="135" t="s">
        <v>90</v>
      </c>
      <c r="D11" s="280">
        <v>213</v>
      </c>
      <c r="E11" s="113">
        <v>6103.2139999999999</v>
      </c>
      <c r="F11" s="113">
        <v>66802.661730000007</v>
      </c>
      <c r="G11" s="274">
        <f t="shared" si="0"/>
        <v>6.4058988180725621E-3</v>
      </c>
      <c r="H11" s="274">
        <f t="shared" si="1"/>
        <v>-9.0648793765916846E-3</v>
      </c>
      <c r="I11" s="280">
        <v>6159.0450000000001</v>
      </c>
      <c r="J11" s="113">
        <v>66933.985719999997</v>
      </c>
      <c r="K11" s="274">
        <f t="shared" si="2"/>
        <v>7.3327624042266318E-3</v>
      </c>
      <c r="L11" s="68"/>
      <c r="M11" s="79"/>
      <c r="N11" s="79"/>
      <c r="O11" s="79"/>
      <c r="P11" s="79"/>
      <c r="Q11" s="79"/>
      <c r="R11" s="79"/>
      <c r="S11" s="79"/>
    </row>
    <row r="12" spans="1:21" ht="12.95" customHeight="1">
      <c r="A12" s="412"/>
      <c r="B12" s="412"/>
      <c r="C12" s="135" t="s">
        <v>91</v>
      </c>
      <c r="D12" s="280"/>
      <c r="E12" s="113">
        <v>12889.052921484999</v>
      </c>
      <c r="F12" s="113">
        <v>141076.97055</v>
      </c>
      <c r="G12" s="274">
        <f t="shared" si="0"/>
        <v>1.3528276884247457E-2</v>
      </c>
      <c r="H12" s="274">
        <f>(E12-I12)/I12</f>
        <v>-0.29196281878948621</v>
      </c>
      <c r="I12" s="280">
        <v>18203.921013651998</v>
      </c>
      <c r="J12" s="113">
        <v>197832.76401000001</v>
      </c>
      <c r="K12" s="274">
        <f t="shared" si="2"/>
        <v>2.16730073604623E-2</v>
      </c>
      <c r="L12" s="68"/>
      <c r="M12" s="79"/>
      <c r="N12" s="79"/>
      <c r="O12" s="79"/>
      <c r="P12" s="79"/>
      <c r="Q12" s="79"/>
      <c r="R12" s="79"/>
      <c r="S12" s="79"/>
    </row>
    <row r="13" spans="1:21" ht="12.95" customHeight="1">
      <c r="A13" s="417"/>
      <c r="B13" s="417"/>
      <c r="C13" s="285" t="s">
        <v>0</v>
      </c>
      <c r="D13" s="288">
        <v>2186851</v>
      </c>
      <c r="E13" s="286">
        <v>952749.04792148503</v>
      </c>
      <c r="F13" s="286">
        <v>10428303.006040001</v>
      </c>
      <c r="G13" s="287">
        <f>SUM(G7:G12)</f>
        <v>0.99999999999999989</v>
      </c>
      <c r="H13" s="287">
        <f>(E13-I13)/I13</f>
        <v>0.13431260840948281</v>
      </c>
      <c r="I13" s="288">
        <v>839935.16501365206</v>
      </c>
      <c r="J13" s="286">
        <v>9128071.6472999975</v>
      </c>
      <c r="K13" s="287">
        <f>SUM(K7:K12)</f>
        <v>0.99999999999999989</v>
      </c>
      <c r="L13" s="68"/>
      <c r="M13" s="79"/>
      <c r="N13" s="79"/>
      <c r="O13" s="79"/>
      <c r="P13" s="79"/>
      <c r="Q13" s="79"/>
      <c r="R13" s="79"/>
      <c r="S13" s="79"/>
    </row>
    <row r="14" spans="1:21" ht="12.95" customHeight="1">
      <c r="A14" s="418" t="str">
        <f>'3.1'!E5</f>
        <v>Únor</v>
      </c>
      <c r="B14" s="418"/>
      <c r="C14" s="145" t="s">
        <v>4</v>
      </c>
      <c r="D14" s="279">
        <v>1192</v>
      </c>
      <c r="E14" s="275">
        <v>282237.01399999997</v>
      </c>
      <c r="F14" s="275">
        <v>3078437.6435199999</v>
      </c>
      <c r="G14" s="276">
        <f>E14/$E$20</f>
        <v>0.38866732783035896</v>
      </c>
      <c r="H14" s="276">
        <f>(E14-I14)/I14</f>
        <v>-4.8862112091020364E-2</v>
      </c>
      <c r="I14" s="279">
        <v>296736.17000000004</v>
      </c>
      <c r="J14" s="275">
        <v>3217621.1723900004</v>
      </c>
      <c r="K14" s="276">
        <f>I14/$I$20</f>
        <v>0.38408441466937948</v>
      </c>
      <c r="L14" s="68"/>
      <c r="M14" s="79"/>
      <c r="N14" s="79"/>
      <c r="O14" s="79"/>
      <c r="P14" s="79"/>
      <c r="Q14" s="79"/>
      <c r="R14" s="79"/>
      <c r="S14" s="79"/>
    </row>
    <row r="15" spans="1:21" ht="12.95" customHeight="1">
      <c r="A15" s="412"/>
      <c r="B15" s="412"/>
      <c r="C15" s="135" t="s">
        <v>5</v>
      </c>
      <c r="D15" s="280">
        <v>3880</v>
      </c>
      <c r="E15" s="113">
        <v>63077.596000000005</v>
      </c>
      <c r="F15" s="113">
        <v>688004.38427000004</v>
      </c>
      <c r="G15" s="274">
        <f t="shared" ref="G15:G19" si="3">E15/$E$20</f>
        <v>8.6863874924934345E-2</v>
      </c>
      <c r="H15" s="274">
        <f t="shared" ref="H15:H17" si="4">(E15-I15)/I15</f>
        <v>-8.8131278479997313E-2</v>
      </c>
      <c r="I15" s="280">
        <v>69173.987999999998</v>
      </c>
      <c r="J15" s="113">
        <v>750079.39209999994</v>
      </c>
      <c r="K15" s="274">
        <f t="shared" ref="K15:K19" si="5">I15/$I$20</f>
        <v>8.9536272882832835E-2</v>
      </c>
      <c r="L15" s="86"/>
      <c r="M15" s="79"/>
      <c r="N15" s="79"/>
      <c r="O15" s="79"/>
      <c r="P15" s="79"/>
      <c r="Q15" s="79"/>
      <c r="R15" s="79"/>
      <c r="S15" s="79"/>
    </row>
    <row r="16" spans="1:21" ht="12.95" customHeight="1">
      <c r="A16" s="412"/>
      <c r="B16" s="412"/>
      <c r="C16" s="135" t="s">
        <v>6</v>
      </c>
      <c r="D16" s="280">
        <v>151532</v>
      </c>
      <c r="E16" s="113">
        <v>123354.72199999999</v>
      </c>
      <c r="F16" s="113">
        <v>1345463.0184500001</v>
      </c>
      <c r="G16" s="274">
        <f t="shared" si="3"/>
        <v>0.16987123515626762</v>
      </c>
      <c r="H16" s="274">
        <f t="shared" si="4"/>
        <v>-6.413758652242206E-2</v>
      </c>
      <c r="I16" s="280">
        <v>131808.60800000001</v>
      </c>
      <c r="J16" s="113">
        <v>1429249.9594500002</v>
      </c>
      <c r="K16" s="274">
        <f>I16/$I$20</f>
        <v>0.17060822767937486</v>
      </c>
      <c r="L16" s="68"/>
      <c r="M16" s="79"/>
      <c r="N16" s="79"/>
      <c r="O16" s="79"/>
      <c r="P16" s="79"/>
      <c r="Q16" s="79"/>
      <c r="R16" s="79"/>
      <c r="S16" s="79"/>
    </row>
    <row r="17" spans="1:20" ht="12.95" customHeight="1">
      <c r="A17" s="412"/>
      <c r="B17" s="412"/>
      <c r="C17" s="135" t="s">
        <v>7</v>
      </c>
      <c r="D17" s="280">
        <v>2028006</v>
      </c>
      <c r="E17" s="113">
        <v>237804.90000000005</v>
      </c>
      <c r="F17" s="113">
        <v>2593803.6999999997</v>
      </c>
      <c r="G17" s="274">
        <f t="shared" si="3"/>
        <v>0.32748006265388624</v>
      </c>
      <c r="H17" s="274">
        <f t="shared" si="4"/>
        <v>-6.0667465359370079E-2</v>
      </c>
      <c r="I17" s="280">
        <v>253163.7</v>
      </c>
      <c r="J17" s="113">
        <v>2745147.8000000003</v>
      </c>
      <c r="K17" s="274">
        <f>I17/$I$20</f>
        <v>0.32768580766555816</v>
      </c>
      <c r="L17" s="68"/>
      <c r="M17" s="79"/>
      <c r="N17" s="79"/>
      <c r="O17" s="79"/>
      <c r="P17" s="79"/>
      <c r="Q17" s="79"/>
      <c r="R17" s="79"/>
      <c r="S17" s="79"/>
    </row>
    <row r="18" spans="1:20" ht="12.95" customHeight="1">
      <c r="A18" s="412"/>
      <c r="B18" s="412"/>
      <c r="C18" s="135" t="s">
        <v>90</v>
      </c>
      <c r="D18" s="280">
        <v>212</v>
      </c>
      <c r="E18" s="113">
        <v>5723.62</v>
      </c>
      <c r="F18" s="113">
        <v>62429.134040000004</v>
      </c>
      <c r="G18" s="274">
        <f t="shared" si="3"/>
        <v>7.8819714657142725E-3</v>
      </c>
      <c r="H18" s="274">
        <f>(E18-I18)/I18</f>
        <v>1.6520305625653373E-3</v>
      </c>
      <c r="I18" s="280">
        <v>5714.18</v>
      </c>
      <c r="J18" s="113">
        <v>61960.969190000003</v>
      </c>
      <c r="K18" s="274">
        <f>I18/$I$20</f>
        <v>7.3962250055848418E-3</v>
      </c>
      <c r="L18" s="68"/>
      <c r="M18" s="79"/>
      <c r="N18" s="79"/>
      <c r="O18" s="79"/>
      <c r="P18" s="79"/>
      <c r="Q18" s="79"/>
      <c r="R18" s="79"/>
      <c r="S18" s="79"/>
    </row>
    <row r="19" spans="1:20" ht="12.95" customHeight="1">
      <c r="A19" s="412"/>
      <c r="B19" s="412"/>
      <c r="C19" s="135" t="s">
        <v>91</v>
      </c>
      <c r="D19" s="280"/>
      <c r="E19" s="113">
        <v>13968.18715621</v>
      </c>
      <c r="F19" s="113">
        <v>152354.85967000001</v>
      </c>
      <c r="G19" s="274">
        <f t="shared" si="3"/>
        <v>1.9235527968838567E-2</v>
      </c>
      <c r="H19" s="274">
        <f t="shared" ref="H19" si="6">(E19-I19)/I19</f>
        <v>-0.12611225296260384</v>
      </c>
      <c r="I19" s="280">
        <v>15983.960415469999</v>
      </c>
      <c r="J19" s="113">
        <v>173320.0373</v>
      </c>
      <c r="K19" s="274">
        <f t="shared" si="5"/>
        <v>2.0689052097269858E-2</v>
      </c>
      <c r="L19" s="68"/>
      <c r="M19" s="79"/>
      <c r="N19" s="79"/>
      <c r="O19" s="79"/>
      <c r="P19" s="79"/>
      <c r="Q19" s="79"/>
      <c r="R19" s="79"/>
      <c r="S19" s="79"/>
    </row>
    <row r="20" spans="1:20" ht="12.95" customHeight="1">
      <c r="A20" s="417"/>
      <c r="B20" s="417"/>
      <c r="C20" s="285" t="s">
        <v>0</v>
      </c>
      <c r="D20" s="288">
        <v>2184822</v>
      </c>
      <c r="E20" s="286">
        <v>726166.03915621003</v>
      </c>
      <c r="F20" s="286">
        <v>7920492.7399499994</v>
      </c>
      <c r="G20" s="287">
        <f>SUM(G14:G19)</f>
        <v>0.99999999999999989</v>
      </c>
      <c r="H20" s="287">
        <f>(E20-I20)/I20</f>
        <v>-6.0077313452908065E-2</v>
      </c>
      <c r="I20" s="288">
        <v>772580.60641547001</v>
      </c>
      <c r="J20" s="286">
        <v>8377379.330430001</v>
      </c>
      <c r="K20" s="287">
        <f>SUM(K14:K19)</f>
        <v>1</v>
      </c>
      <c r="L20" s="68"/>
      <c r="M20" s="79"/>
      <c r="N20" s="79"/>
      <c r="O20" s="79"/>
      <c r="P20" s="79"/>
      <c r="Q20" s="79"/>
      <c r="R20" s="79"/>
      <c r="S20" s="79"/>
    </row>
    <row r="21" spans="1:20" ht="12.95" customHeight="1">
      <c r="A21" s="418" t="str">
        <f>'3.1'!F5</f>
        <v>Březen</v>
      </c>
      <c r="B21" s="418"/>
      <c r="C21" s="145" t="s">
        <v>4</v>
      </c>
      <c r="D21" s="279">
        <v>1189</v>
      </c>
      <c r="E21" s="275">
        <v>253977.69599999997</v>
      </c>
      <c r="F21" s="275">
        <v>2787222.8570299996</v>
      </c>
      <c r="G21" s="276">
        <f>E21/$E$27</f>
        <v>0.43823183955808398</v>
      </c>
      <c r="H21" s="276">
        <f>(E21-I21)/I21</f>
        <v>-4.2445234754552502E-2</v>
      </c>
      <c r="I21" s="279">
        <v>265235.68699999998</v>
      </c>
      <c r="J21" s="275">
        <v>2890531.6828000001</v>
      </c>
      <c r="K21" s="276">
        <f>I21/$I$27</f>
        <v>0.44132558135419148</v>
      </c>
      <c r="L21" s="78"/>
      <c r="M21" s="79"/>
      <c r="N21" s="79"/>
      <c r="O21" s="79"/>
      <c r="P21" s="79"/>
      <c r="Q21" s="79"/>
      <c r="R21" s="79"/>
      <c r="S21" s="79"/>
      <c r="T21" s="78"/>
    </row>
    <row r="22" spans="1:20" ht="12.95" customHeight="1">
      <c r="A22" s="412"/>
      <c r="B22" s="412"/>
      <c r="C22" s="135" t="s">
        <v>5</v>
      </c>
      <c r="D22" s="280">
        <v>3737</v>
      </c>
      <c r="E22" s="113">
        <v>49191.818999999996</v>
      </c>
      <c r="F22" s="113">
        <v>539845.54553</v>
      </c>
      <c r="G22" s="274">
        <f t="shared" ref="G22:G26" si="7">E22/$E$27</f>
        <v>8.4879190854531994E-2</v>
      </c>
      <c r="H22" s="274">
        <f t="shared" ref="H22:H26" si="8">(E22-I22)/I22</f>
        <v>-2.1025851743181268E-2</v>
      </c>
      <c r="I22" s="280">
        <v>50248.332999999999</v>
      </c>
      <c r="J22" s="113">
        <v>547604.62127</v>
      </c>
      <c r="K22" s="274">
        <f t="shared" ref="K22:K26" si="9">I22/$I$27</f>
        <v>8.3608186455331718E-2</v>
      </c>
      <c r="L22" s="78"/>
      <c r="M22" s="79"/>
      <c r="N22" s="79"/>
      <c r="O22" s="79"/>
      <c r="P22" s="79"/>
      <c r="Q22" s="79"/>
      <c r="R22" s="79"/>
      <c r="S22" s="79"/>
      <c r="T22" s="78"/>
    </row>
    <row r="23" spans="1:20" ht="12.95" customHeight="1">
      <c r="A23" s="412"/>
      <c r="B23" s="412"/>
      <c r="C23" s="135" t="s">
        <v>6</v>
      </c>
      <c r="D23" s="280">
        <v>151525</v>
      </c>
      <c r="E23" s="113">
        <v>89217.573000000019</v>
      </c>
      <c r="F23" s="113">
        <v>979096.88257999998</v>
      </c>
      <c r="G23" s="274">
        <f t="shared" si="7"/>
        <v>0.15394257744860265</v>
      </c>
      <c r="H23" s="274">
        <f t="shared" si="8"/>
        <v>-3.3918315928933844E-2</v>
      </c>
      <c r="I23" s="280">
        <v>92349.926999999996</v>
      </c>
      <c r="J23" s="113">
        <v>1006428.6521200001</v>
      </c>
      <c r="K23" s="274">
        <f t="shared" si="9"/>
        <v>0.15366101629186929</v>
      </c>
      <c r="L23" s="78"/>
      <c r="M23" s="79"/>
      <c r="N23" s="79"/>
      <c r="O23" s="79"/>
      <c r="P23" s="79"/>
      <c r="Q23" s="79"/>
      <c r="R23" s="79"/>
      <c r="S23" s="79"/>
      <c r="T23" s="78"/>
    </row>
    <row r="24" spans="1:20" ht="12.95" customHeight="1">
      <c r="A24" s="412"/>
      <c r="B24" s="412"/>
      <c r="C24" s="135" t="s">
        <v>7</v>
      </c>
      <c r="D24" s="280">
        <v>2026159</v>
      </c>
      <c r="E24" s="113">
        <v>170735.5</v>
      </c>
      <c r="F24" s="113">
        <v>1873699.9000000001</v>
      </c>
      <c r="G24" s="274">
        <f t="shared" si="7"/>
        <v>0.29459961808169666</v>
      </c>
      <c r="H24" s="274">
        <f t="shared" si="8"/>
        <v>-1.4966852189786186E-2</v>
      </c>
      <c r="I24" s="280">
        <v>173329.69999999998</v>
      </c>
      <c r="J24" s="113">
        <v>1888940.9</v>
      </c>
      <c r="K24" s="274">
        <f t="shared" si="9"/>
        <v>0.2884032366973589</v>
      </c>
      <c r="L24" s="78"/>
      <c r="M24" s="79"/>
      <c r="N24" s="79"/>
      <c r="O24" s="79"/>
      <c r="P24" s="79"/>
      <c r="Q24" s="79"/>
      <c r="R24" s="79"/>
      <c r="S24" s="79"/>
      <c r="T24" s="78"/>
    </row>
    <row r="25" spans="1:20" ht="12.95" customHeight="1">
      <c r="A25" s="412"/>
      <c r="B25" s="412"/>
      <c r="C25" s="135" t="s">
        <v>90</v>
      </c>
      <c r="D25" s="280">
        <v>212</v>
      </c>
      <c r="E25" s="113">
        <v>6085.9</v>
      </c>
      <c r="F25" s="113">
        <v>66788.350559999992</v>
      </c>
      <c r="G25" s="274">
        <f t="shared" si="7"/>
        <v>1.0501060504015848E-2</v>
      </c>
      <c r="H25" s="274">
        <f t="shared" si="8"/>
        <v>-1.5098198254291266E-4</v>
      </c>
      <c r="I25" s="280">
        <v>6086.8189999999995</v>
      </c>
      <c r="J25" s="113">
        <v>66333.994080000004</v>
      </c>
      <c r="K25" s="274">
        <f t="shared" si="9"/>
        <v>1.0127856338475065E-2</v>
      </c>
      <c r="L25" s="78"/>
      <c r="M25" s="79"/>
      <c r="N25" s="79"/>
      <c r="O25" s="79"/>
      <c r="P25" s="79"/>
      <c r="Q25" s="79"/>
      <c r="R25" s="79"/>
      <c r="S25" s="79"/>
      <c r="T25" s="78"/>
    </row>
    <row r="26" spans="1:20" ht="12.95" customHeight="1">
      <c r="A26" s="412"/>
      <c r="B26" s="412"/>
      <c r="C26" s="135" t="s">
        <v>91</v>
      </c>
      <c r="D26" s="280"/>
      <c r="E26" s="113">
        <v>10342.500937985</v>
      </c>
      <c r="F26" s="113">
        <v>113501.50509000001</v>
      </c>
      <c r="G26" s="274">
        <f t="shared" si="7"/>
        <v>1.7845713553068757E-2</v>
      </c>
      <c r="H26" s="274">
        <f t="shared" si="8"/>
        <v>-0.24767020082508398</v>
      </c>
      <c r="I26" s="280">
        <v>13747.296663415</v>
      </c>
      <c r="J26" s="113">
        <v>149817.67084000001</v>
      </c>
      <c r="K26" s="274">
        <f t="shared" si="9"/>
        <v>2.2874122862773596E-2</v>
      </c>
      <c r="L26" s="78"/>
      <c r="M26" s="79"/>
      <c r="N26" s="79"/>
      <c r="O26" s="79"/>
      <c r="P26" s="79"/>
      <c r="Q26" s="79"/>
      <c r="R26" s="79"/>
      <c r="S26" s="79"/>
      <c r="T26" s="78"/>
    </row>
    <row r="27" spans="1:20" ht="12.95" customHeight="1">
      <c r="A27" s="417"/>
      <c r="B27" s="417"/>
      <c r="C27" s="285" t="s">
        <v>0</v>
      </c>
      <c r="D27" s="288">
        <v>2182822</v>
      </c>
      <c r="E27" s="286">
        <v>579550.98893798504</v>
      </c>
      <c r="F27" s="286">
        <v>6360155.04079</v>
      </c>
      <c r="G27" s="287">
        <f>SUM(G21:G26)</f>
        <v>0.99999999999999989</v>
      </c>
      <c r="H27" s="287">
        <f>(E27-I27)/I27</f>
        <v>-3.5685280474897593E-2</v>
      </c>
      <c r="I27" s="288">
        <v>600997.76266341493</v>
      </c>
      <c r="J27" s="286">
        <v>6549657.5211099992</v>
      </c>
      <c r="K27" s="287">
        <f>SUM(K21:K26)</f>
        <v>0.99999999999999989</v>
      </c>
      <c r="M27" s="79"/>
      <c r="N27" s="79"/>
      <c r="O27" s="79"/>
      <c r="P27" s="79"/>
      <c r="Q27" s="79"/>
      <c r="R27" s="79"/>
      <c r="S27" s="79"/>
    </row>
    <row r="28" spans="1:20" ht="12.95" customHeight="1">
      <c r="A28" s="476" t="str">
        <f>'3.1'!G5</f>
        <v>I. čtvrtletí</v>
      </c>
      <c r="B28" s="418"/>
      <c r="C28" s="145" t="s">
        <v>4</v>
      </c>
      <c r="D28" s="279">
        <f>D21</f>
        <v>1189</v>
      </c>
      <c r="E28" s="275">
        <f>E7+E14+E21</f>
        <v>887843.1939999999</v>
      </c>
      <c r="F28" s="275">
        <f>F7+F14+F21</f>
        <v>9714405.4795099981</v>
      </c>
      <c r="G28" s="276">
        <f>E28/$E$34</f>
        <v>0.39311779062287572</v>
      </c>
      <c r="H28" s="276">
        <f>(E28-I28)/I28</f>
        <v>7.0534697292575022E-3</v>
      </c>
      <c r="I28" s="279">
        <f>I7+I14+I21</f>
        <v>881624.6810000001</v>
      </c>
      <c r="J28" s="275">
        <f>J7+J14+J21</f>
        <v>9582009.6535</v>
      </c>
      <c r="K28" s="276">
        <f>I28/$I$34</f>
        <v>0.39829197672443206</v>
      </c>
      <c r="M28" s="79"/>
      <c r="N28" s="79"/>
      <c r="O28" s="79"/>
      <c r="P28" s="79"/>
      <c r="Q28" s="79"/>
      <c r="R28" s="79"/>
      <c r="S28" s="79"/>
    </row>
    <row r="29" spans="1:20" ht="12.95" customHeight="1">
      <c r="A29" s="412"/>
      <c r="B29" s="412"/>
      <c r="C29" s="135" t="s">
        <v>5</v>
      </c>
      <c r="D29" s="280">
        <f t="shared" ref="D29:D32" si="10">D22</f>
        <v>3737</v>
      </c>
      <c r="E29" s="113">
        <f>E8+E15+E22</f>
        <v>196944.60899999997</v>
      </c>
      <c r="F29" s="113">
        <f t="shared" ref="F29" si="11">F8+F15+F22</f>
        <v>2154662.1338600004</v>
      </c>
      <c r="G29" s="274">
        <f t="shared" ref="G29:G33" si="12">E29/$E$34</f>
        <v>8.7202819245991908E-2</v>
      </c>
      <c r="H29" s="274">
        <f t="shared" ref="H29:H31" si="13">(E29-I29)/I29</f>
        <v>1.5185058405048262E-2</v>
      </c>
      <c r="I29" s="280">
        <f>I8+I15+I22</f>
        <v>193998.72699999996</v>
      </c>
      <c r="J29" s="113">
        <f t="shared" ref="J29" si="14">J8+J15+J22</f>
        <v>2108151.7911299998</v>
      </c>
      <c r="K29" s="274">
        <f t="shared" ref="K29:K33" si="15">I29/$I$34</f>
        <v>8.7642891724867014E-2</v>
      </c>
      <c r="M29" s="79"/>
      <c r="N29" s="79"/>
      <c r="O29" s="79"/>
      <c r="P29" s="79"/>
      <c r="Q29" s="79"/>
      <c r="R29" s="79"/>
      <c r="S29" s="79"/>
    </row>
    <row r="30" spans="1:20" ht="12.95" customHeight="1">
      <c r="A30" s="412"/>
      <c r="B30" s="412"/>
      <c r="C30" s="135" t="s">
        <v>6</v>
      </c>
      <c r="D30" s="280">
        <f t="shared" si="10"/>
        <v>151525</v>
      </c>
      <c r="E30" s="113">
        <f t="shared" ref="E30:F33" si="16">E9+E16+E23</f>
        <v>376952.098</v>
      </c>
      <c r="F30" s="113">
        <f t="shared" si="16"/>
        <v>4123774.1917699999</v>
      </c>
      <c r="G30" s="274">
        <f t="shared" si="12"/>
        <v>0.16690624756472228</v>
      </c>
      <c r="H30" s="274">
        <f t="shared" si="13"/>
        <v>3.6879914740805632E-2</v>
      </c>
      <c r="I30" s="280">
        <f t="shared" ref="I30:J32" si="17">I9+I16+I23</f>
        <v>363544.60400000005</v>
      </c>
      <c r="J30" s="113">
        <f t="shared" si="17"/>
        <v>3950465.2330700005</v>
      </c>
      <c r="K30" s="274">
        <f t="shared" si="15"/>
        <v>0.16423870846086358</v>
      </c>
      <c r="M30" s="79"/>
      <c r="N30" s="79"/>
      <c r="O30" s="79"/>
      <c r="P30" s="79"/>
      <c r="Q30" s="79"/>
      <c r="R30" s="79"/>
      <c r="S30" s="79"/>
    </row>
    <row r="31" spans="1:20" ht="12.95" customHeight="1">
      <c r="A31" s="412"/>
      <c r="B31" s="412"/>
      <c r="C31" s="135" t="s">
        <v>7</v>
      </c>
      <c r="D31" s="280">
        <f t="shared" si="10"/>
        <v>2026159</v>
      </c>
      <c r="E31" s="113">
        <f>E10+E17+E24</f>
        <v>741613.70000000007</v>
      </c>
      <c r="F31" s="113">
        <f t="shared" si="16"/>
        <v>8113155.5</v>
      </c>
      <c r="G31" s="274">
        <f t="shared" si="12"/>
        <v>0.32837052895137275</v>
      </c>
      <c r="H31" s="274">
        <f t="shared" si="13"/>
        <v>4.681118774316282E-2</v>
      </c>
      <c r="I31" s="280">
        <f>I10+I17+I24</f>
        <v>708450.3</v>
      </c>
      <c r="J31" s="113">
        <f t="shared" si="17"/>
        <v>7698282.4000000004</v>
      </c>
      <c r="K31" s="274">
        <f t="shared" si="15"/>
        <v>0.32005690911234469</v>
      </c>
      <c r="M31" s="79"/>
      <c r="N31" s="79"/>
      <c r="O31" s="79"/>
      <c r="P31" s="79"/>
      <c r="Q31" s="79"/>
      <c r="R31" s="79"/>
      <c r="S31" s="79"/>
    </row>
    <row r="32" spans="1:20" ht="12.95" customHeight="1">
      <c r="A32" s="412"/>
      <c r="B32" s="412"/>
      <c r="C32" s="135" t="s">
        <v>90</v>
      </c>
      <c r="D32" s="280">
        <f t="shared" si="10"/>
        <v>212</v>
      </c>
      <c r="E32" s="113">
        <f>E11+E18+E25</f>
        <v>17912.733999999997</v>
      </c>
      <c r="F32" s="113">
        <f t="shared" si="16"/>
        <v>196020.14633000002</v>
      </c>
      <c r="G32" s="274">
        <f t="shared" si="12"/>
        <v>7.9313717351031099E-3</v>
      </c>
      <c r="H32" s="274">
        <f>(E32-I32)/I32</f>
        <v>-2.6341806289564181E-3</v>
      </c>
      <c r="I32" s="280">
        <f>I11+I18+I25</f>
        <v>17960.044000000002</v>
      </c>
      <c r="J32" s="113">
        <f t="shared" si="17"/>
        <v>195228.94899</v>
      </c>
      <c r="K32" s="274">
        <f t="shared" si="15"/>
        <v>8.1138171162630762E-3</v>
      </c>
      <c r="M32" s="79"/>
      <c r="N32" s="79"/>
      <c r="O32" s="79"/>
      <c r="P32" s="79"/>
      <c r="Q32" s="79"/>
      <c r="R32" s="79"/>
      <c r="S32" s="79"/>
    </row>
    <row r="33" spans="1:20" ht="12.95" customHeight="1">
      <c r="A33" s="412"/>
      <c r="B33" s="412"/>
      <c r="C33" s="135" t="s">
        <v>91</v>
      </c>
      <c r="D33" s="280"/>
      <c r="E33" s="113">
        <f t="shared" si="16"/>
        <v>37199.741015680003</v>
      </c>
      <c r="F33" s="113">
        <f t="shared" si="16"/>
        <v>406933.33530999999</v>
      </c>
      <c r="G33" s="274">
        <f t="shared" si="12"/>
        <v>1.6471241879934144E-2</v>
      </c>
      <c r="H33" s="274">
        <f t="shared" ref="H33" si="18">(E33-I33)/I33</f>
        <v>-0.22395738378467375</v>
      </c>
      <c r="I33" s="280">
        <f t="shared" ref="I33:J33" si="19">I12+I19+I26</f>
        <v>47935.178092536997</v>
      </c>
      <c r="J33" s="113">
        <f t="shared" si="19"/>
        <v>520970.47215000005</v>
      </c>
      <c r="K33" s="274">
        <f t="shared" si="15"/>
        <v>2.16556968612296E-2</v>
      </c>
      <c r="M33" s="79"/>
      <c r="N33" s="79"/>
      <c r="O33" s="79"/>
      <c r="P33" s="79"/>
      <c r="Q33" s="79"/>
      <c r="R33" s="79"/>
      <c r="S33" s="79"/>
    </row>
    <row r="34" spans="1:20" ht="12.95" customHeight="1">
      <c r="A34" s="417"/>
      <c r="B34" s="417"/>
      <c r="C34" s="285" t="s">
        <v>0</v>
      </c>
      <c r="D34" s="288">
        <f>SUM(D28:D33)</f>
        <v>2182822</v>
      </c>
      <c r="E34" s="286">
        <f>SUM(E28:E33)</f>
        <v>2258466.0760156801</v>
      </c>
      <c r="F34" s="286">
        <f>SUM(F28:F33)</f>
        <v>24708950.786779996</v>
      </c>
      <c r="G34" s="287">
        <f>SUM(G28:G33)</f>
        <v>0.99999999999999989</v>
      </c>
      <c r="H34" s="287">
        <f>(E34-I34)/I34</f>
        <v>2.0308229984042962E-2</v>
      </c>
      <c r="I34" s="288">
        <f>SUM(I28:I33)</f>
        <v>2213513.5340925371</v>
      </c>
      <c r="J34" s="286">
        <f>SUM(J28:J33)</f>
        <v>24055108.498840004</v>
      </c>
      <c r="K34" s="287">
        <f>SUM(K28:K33)</f>
        <v>0.99999999999999989</v>
      </c>
      <c r="M34" s="79"/>
      <c r="N34" s="79"/>
      <c r="O34" s="79"/>
      <c r="P34" s="79"/>
      <c r="Q34" s="79"/>
      <c r="R34" s="79"/>
      <c r="S34" s="79"/>
    </row>
    <row r="35" spans="1:20" ht="20.100000000000001" customHeight="1">
      <c r="A35" s="110"/>
      <c r="B35" s="270"/>
      <c r="C35" s="90"/>
      <c r="D35" s="78"/>
      <c r="E35" s="78"/>
      <c r="F35" s="78"/>
      <c r="G35" s="473" t="s">
        <v>258</v>
      </c>
      <c r="H35" s="473"/>
      <c r="I35" s="473"/>
      <c r="J35" s="473"/>
      <c r="K35" s="473"/>
    </row>
    <row r="36" spans="1:20" ht="15" customHeight="1">
      <c r="A36" s="465" t="s">
        <v>257</v>
      </c>
      <c r="B36" s="465"/>
      <c r="C36" s="465"/>
      <c r="D36" s="465"/>
      <c r="E36" s="465"/>
      <c r="F36" s="104"/>
      <c r="G36" s="473"/>
      <c r="H36" s="473"/>
      <c r="I36" s="473"/>
      <c r="J36" s="473"/>
      <c r="K36" s="473"/>
      <c r="M36" s="68"/>
      <c r="N36" s="68"/>
      <c r="O36" s="68"/>
      <c r="P36" s="68"/>
      <c r="Q36" s="68"/>
      <c r="R36" s="68"/>
      <c r="S36" s="68"/>
    </row>
    <row r="37" spans="1:20" ht="15" customHeight="1">
      <c r="A37" s="466" t="str">
        <f>A28</f>
        <v>I. čtvrtletí</v>
      </c>
      <c r="B37" s="467"/>
      <c r="C37" s="467"/>
      <c r="D37" s="467"/>
      <c r="E37" s="467"/>
      <c r="F37" s="109"/>
      <c r="G37" s="468" t="str">
        <f>A28</f>
        <v>I. čtvrtletí</v>
      </c>
      <c r="H37" s="468"/>
      <c r="I37" s="468"/>
      <c r="J37" s="468"/>
      <c r="K37" s="468"/>
      <c r="M37" s="68"/>
      <c r="N37" s="68"/>
      <c r="O37" s="68"/>
      <c r="P37" s="68"/>
      <c r="Q37" s="68"/>
      <c r="R37" s="68"/>
      <c r="S37" s="68"/>
    </row>
    <row r="38" spans="1:20" ht="15" customHeight="1">
      <c r="A38" s="83"/>
      <c r="B38" s="83"/>
      <c r="C38" s="83"/>
      <c r="G38" s="83"/>
      <c r="H38" s="83"/>
      <c r="I38" s="83"/>
      <c r="J38" s="83"/>
      <c r="K38" s="83"/>
      <c r="M38" s="68"/>
      <c r="N38" s="68"/>
      <c r="O38" s="68"/>
      <c r="P38" s="68"/>
      <c r="Q38" s="68"/>
      <c r="R38" s="68"/>
      <c r="S38" s="68"/>
      <c r="T38" s="68"/>
    </row>
    <row r="39" spans="1:20" ht="15" customHeight="1">
      <c r="A39" s="83"/>
      <c r="B39" s="83"/>
      <c r="C39" s="83"/>
      <c r="G39" s="83"/>
      <c r="H39" s="83"/>
      <c r="I39" s="83"/>
      <c r="J39" s="83"/>
      <c r="K39" s="83"/>
    </row>
    <row r="40" spans="1:20" ht="15" customHeight="1">
      <c r="A40" s="83"/>
      <c r="B40" s="83"/>
      <c r="C40" s="83"/>
      <c r="G40" s="83"/>
      <c r="H40" s="83"/>
      <c r="I40" s="83"/>
      <c r="J40" s="83"/>
      <c r="K40" s="83"/>
    </row>
    <row r="41" spans="1:20" ht="15" customHeight="1">
      <c r="A41" s="83"/>
      <c r="B41" s="83"/>
      <c r="C41" s="83">
        <f>D3</f>
        <v>2026</v>
      </c>
      <c r="D41" s="83">
        <f>I3</f>
        <v>2025</v>
      </c>
      <c r="H41" s="83"/>
      <c r="I41" s="83">
        <f>D3</f>
        <v>2026</v>
      </c>
      <c r="J41" s="83">
        <f>I3</f>
        <v>2025</v>
      </c>
      <c r="K41" s="83"/>
    </row>
    <row r="42" spans="1:20" ht="15" customHeight="1">
      <c r="A42" s="83"/>
      <c r="B42" s="83" t="str">
        <f>A7</f>
        <v>Leden</v>
      </c>
      <c r="C42" s="69">
        <f>E13</f>
        <v>952749.04792148503</v>
      </c>
      <c r="D42" s="69">
        <f>I13</f>
        <v>839935.16501365206</v>
      </c>
      <c r="H42" s="83" t="str">
        <f>A7</f>
        <v>Leden</v>
      </c>
      <c r="I42" s="84">
        <f>E13/E34</f>
        <v>0.42185670089953137</v>
      </c>
      <c r="J42" s="84">
        <f>I13/I34</f>
        <v>0.37945788542828857</v>
      </c>
      <c r="K42" s="83"/>
    </row>
    <row r="43" spans="1:20" ht="15" customHeight="1">
      <c r="A43" s="83"/>
      <c r="B43" s="83" t="str">
        <f>A14</f>
        <v>Únor</v>
      </c>
      <c r="C43" s="69">
        <f>E20</f>
        <v>726166.03915621003</v>
      </c>
      <c r="D43" s="69">
        <f>I20</f>
        <v>772580.60641547001</v>
      </c>
      <c r="H43" s="83" t="str">
        <f>A14</f>
        <v>Únor</v>
      </c>
      <c r="I43" s="84">
        <f>E20/E34</f>
        <v>0.32153063836906992</v>
      </c>
      <c r="J43" s="84">
        <f>I20/I34</f>
        <v>0.34902908634448487</v>
      </c>
      <c r="K43" s="83"/>
    </row>
    <row r="44" spans="1:20" ht="15" customHeight="1">
      <c r="A44" s="83"/>
      <c r="B44" s="83" t="str">
        <f>A21</f>
        <v>Březen</v>
      </c>
      <c r="C44" s="69">
        <f>E27</f>
        <v>579550.98893798504</v>
      </c>
      <c r="D44" s="69">
        <f>I27</f>
        <v>600997.76266341493</v>
      </c>
      <c r="H44" s="83" t="str">
        <f>A21</f>
        <v>Březen</v>
      </c>
      <c r="I44" s="84">
        <f>E27/E34</f>
        <v>0.25661266073139871</v>
      </c>
      <c r="J44" s="84">
        <f>I27/I34</f>
        <v>0.2715130282272265</v>
      </c>
      <c r="K44" s="83"/>
    </row>
    <row r="45" spans="1:20" ht="15" customHeight="1">
      <c r="A45" s="83"/>
      <c r="B45" s="83"/>
      <c r="C45" s="69">
        <f>SUM(C42:C44)</f>
        <v>2258466.0760156801</v>
      </c>
      <c r="D45" s="69">
        <f>SUM(D42:D44)</f>
        <v>2213513.5340925371</v>
      </c>
      <c r="E45" s="83"/>
      <c r="F45" s="83"/>
      <c r="G45" s="83"/>
      <c r="H45" s="83"/>
      <c r="I45" s="85">
        <f>SUM(I42:I44)</f>
        <v>1</v>
      </c>
      <c r="J45" s="85">
        <f>SUM(J42:J44)</f>
        <v>1</v>
      </c>
      <c r="K45" s="83"/>
    </row>
    <row r="46" spans="1:20" ht="1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20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0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ht="1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ht="1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E3:G4"/>
    <mergeCell ref="I3:K4"/>
    <mergeCell ref="A3:C4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2"/>
  <sheetViews>
    <sheetView showGridLines="0" topLeftCell="A17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21" s="76" customFormat="1" ht="18">
      <c r="A1" s="446" t="s">
        <v>310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21" ht="6" customHeight="1">
      <c r="A2" s="452"/>
      <c r="B2" s="452"/>
      <c r="C2" s="452"/>
      <c r="D2" s="282"/>
      <c r="E2" s="282"/>
      <c r="F2" s="283"/>
      <c r="G2" s="284"/>
      <c r="H2" s="284"/>
      <c r="I2" s="284"/>
      <c r="J2" s="254"/>
      <c r="K2" s="254"/>
    </row>
    <row r="3" spans="1:21" ht="15" customHeight="1">
      <c r="A3" s="463" t="s">
        <v>308</v>
      </c>
      <c r="B3" s="463"/>
      <c r="C3" s="463"/>
      <c r="D3" s="308">
        <f>'3.1'!A4</f>
        <v>2026</v>
      </c>
      <c r="E3" s="458"/>
      <c r="F3" s="458"/>
      <c r="G3" s="458"/>
      <c r="H3" s="307"/>
      <c r="I3" s="457">
        <f>D3-1</f>
        <v>2025</v>
      </c>
      <c r="J3" s="458"/>
      <c r="K3" s="458"/>
    </row>
    <row r="4" spans="1:21" ht="50.1" customHeight="1">
      <c r="A4" s="464"/>
      <c r="B4" s="464"/>
      <c r="C4" s="464"/>
      <c r="D4" s="310"/>
      <c r="E4" s="460"/>
      <c r="F4" s="460"/>
      <c r="G4" s="460"/>
      <c r="H4" s="155"/>
      <c r="I4" s="459"/>
      <c r="J4" s="460"/>
      <c r="K4" s="460"/>
    </row>
    <row r="5" spans="1:21" ht="24.95" customHeight="1">
      <c r="A5" s="463" t="s">
        <v>155</v>
      </c>
      <c r="B5" s="463"/>
      <c r="C5" s="474" t="s">
        <v>180</v>
      </c>
      <c r="D5" s="461" t="s">
        <v>156</v>
      </c>
      <c r="E5" s="455" t="s">
        <v>59</v>
      </c>
      <c r="F5" s="455"/>
      <c r="G5" s="456" t="s">
        <v>32</v>
      </c>
      <c r="H5" s="456" t="s">
        <v>256</v>
      </c>
      <c r="I5" s="453" t="s">
        <v>59</v>
      </c>
      <c r="J5" s="454"/>
      <c r="K5" s="456" t="s">
        <v>32</v>
      </c>
    </row>
    <row r="6" spans="1:21" ht="22.5" customHeight="1">
      <c r="A6" s="464"/>
      <c r="B6" s="464"/>
      <c r="C6" s="475"/>
      <c r="D6" s="462"/>
      <c r="E6" s="199" t="s">
        <v>247</v>
      </c>
      <c r="F6" s="199" t="s">
        <v>248</v>
      </c>
      <c r="G6" s="451"/>
      <c r="H6" s="451"/>
      <c r="I6" s="201" t="s">
        <v>247</v>
      </c>
      <c r="J6" s="199" t="s">
        <v>248</v>
      </c>
      <c r="K6" s="451"/>
    </row>
    <row r="7" spans="1:21" ht="12.95" customHeight="1">
      <c r="A7" s="418" t="str">
        <f>'3.1'!D5</f>
        <v>Leden</v>
      </c>
      <c r="B7" s="418"/>
      <c r="C7" s="145" t="s">
        <v>4</v>
      </c>
      <c r="D7" s="279">
        <v>86</v>
      </c>
      <c r="E7" s="275">
        <v>10423.424934999999</v>
      </c>
      <c r="F7" s="275">
        <v>114204.25530599999</v>
      </c>
      <c r="G7" s="276">
        <f t="shared" ref="G7:G12" si="0">E7/$E$13</f>
        <v>0.22120936626747531</v>
      </c>
      <c r="H7" s="276">
        <f>(E7-I7)/I7</f>
        <v>7.5178579566939477E-2</v>
      </c>
      <c r="I7" s="279">
        <v>9694.5987700000005</v>
      </c>
      <c r="J7" s="275">
        <v>105653.676311</v>
      </c>
      <c r="K7" s="276">
        <f>I7/$I$13</f>
        <v>0.2350536831918616</v>
      </c>
      <c r="M7" s="79"/>
      <c r="N7" s="79"/>
      <c r="O7" s="79"/>
      <c r="P7" s="79"/>
      <c r="Q7" s="79"/>
      <c r="R7" s="79"/>
      <c r="S7" s="79"/>
      <c r="T7" s="79"/>
      <c r="U7" s="79"/>
    </row>
    <row r="8" spans="1:21" ht="12.95" customHeight="1">
      <c r="A8" s="412"/>
      <c r="B8" s="412"/>
      <c r="C8" s="135" t="s">
        <v>5</v>
      </c>
      <c r="D8" s="280">
        <v>306</v>
      </c>
      <c r="E8" s="113">
        <v>6172.1889410000003</v>
      </c>
      <c r="F8" s="113">
        <v>67625.588121000008</v>
      </c>
      <c r="G8" s="274">
        <f t="shared" si="0"/>
        <v>0.13098823204809981</v>
      </c>
      <c r="H8" s="274">
        <f t="shared" ref="H8:H11" si="1">(E8-I8)/I8</f>
        <v>7.5585987482525305E-2</v>
      </c>
      <c r="I8" s="280">
        <v>5738.4430560000001</v>
      </c>
      <c r="J8" s="113">
        <v>62538.700108000005</v>
      </c>
      <c r="K8" s="274">
        <f t="shared" ref="K8:K12" si="2">I8/$I$13</f>
        <v>0.13913336777521551</v>
      </c>
      <c r="L8" s="68"/>
      <c r="M8" s="79"/>
      <c r="N8" s="79"/>
      <c r="O8" s="79"/>
      <c r="P8" s="79"/>
      <c r="Q8" s="79"/>
      <c r="R8" s="79"/>
      <c r="S8" s="79"/>
    </row>
    <row r="9" spans="1:21" ht="12.95" customHeight="1">
      <c r="A9" s="412"/>
      <c r="B9" s="412"/>
      <c r="C9" s="135" t="s">
        <v>6</v>
      </c>
      <c r="D9" s="280">
        <v>10762</v>
      </c>
      <c r="E9" s="113">
        <v>11780.181121000001</v>
      </c>
      <c r="F9" s="113">
        <v>129069.554456</v>
      </c>
      <c r="G9" s="274">
        <f t="shared" si="0"/>
        <v>0.250002894110398</v>
      </c>
      <c r="H9" s="274">
        <f t="shared" si="1"/>
        <v>0.18488384273193481</v>
      </c>
      <c r="I9" s="280">
        <v>9942.0556649999999</v>
      </c>
      <c r="J9" s="113">
        <v>108350.51105</v>
      </c>
      <c r="K9" s="274">
        <f t="shared" si="2"/>
        <v>0.24105348328477164</v>
      </c>
      <c r="L9" s="68"/>
      <c r="M9" s="79"/>
      <c r="N9" s="79"/>
      <c r="O9" s="79"/>
      <c r="P9" s="79"/>
      <c r="Q9" s="79"/>
      <c r="R9" s="79"/>
      <c r="S9" s="79"/>
    </row>
    <row r="10" spans="1:21" ht="12.95" customHeight="1">
      <c r="A10" s="412"/>
      <c r="B10" s="412"/>
      <c r="C10" s="135" t="s">
        <v>7</v>
      </c>
      <c r="D10" s="280">
        <v>99609</v>
      </c>
      <c r="E10" s="113">
        <v>17967.751002999998</v>
      </c>
      <c r="F10" s="113">
        <v>196847.966866</v>
      </c>
      <c r="G10" s="274">
        <f t="shared" si="0"/>
        <v>0.38131754556789771</v>
      </c>
      <c r="H10" s="274">
        <f t="shared" si="1"/>
        <v>0.18488384269005853</v>
      </c>
      <c r="I10" s="280">
        <v>15164.14551</v>
      </c>
      <c r="J10" s="113">
        <v>165260.172593</v>
      </c>
      <c r="K10" s="274">
        <f t="shared" si="2"/>
        <v>0.36766743411938341</v>
      </c>
      <c r="L10" s="68"/>
      <c r="M10" s="79"/>
      <c r="N10" s="79"/>
      <c r="O10" s="79"/>
      <c r="P10" s="79"/>
      <c r="Q10" s="79"/>
      <c r="R10" s="79"/>
      <c r="S10" s="79"/>
    </row>
    <row r="11" spans="1:21" ht="12.95" customHeight="1">
      <c r="A11" s="412"/>
      <c r="B11" s="412"/>
      <c r="C11" s="135" t="s">
        <v>90</v>
      </c>
      <c r="D11" s="280">
        <v>20</v>
      </c>
      <c r="E11" s="113">
        <v>293.86900000000003</v>
      </c>
      <c r="F11" s="113">
        <v>3219.5477040000001</v>
      </c>
      <c r="G11" s="274">
        <f t="shared" si="0"/>
        <v>6.2365849671326586E-3</v>
      </c>
      <c r="H11" s="274">
        <f t="shared" si="1"/>
        <v>-9.8190667329515688E-2</v>
      </c>
      <c r="I11" s="280">
        <v>325.86599999999999</v>
      </c>
      <c r="J11" s="113">
        <v>3551.9067930000001</v>
      </c>
      <c r="K11" s="274">
        <f t="shared" si="2"/>
        <v>7.900894647030263E-3</v>
      </c>
      <c r="L11" s="68"/>
      <c r="M11" s="79"/>
      <c r="N11" s="79"/>
      <c r="O11" s="79"/>
      <c r="P11" s="79"/>
      <c r="Q11" s="79"/>
      <c r="R11" s="79"/>
      <c r="S11" s="79"/>
    </row>
    <row r="12" spans="1:21" ht="12.95" customHeight="1">
      <c r="A12" s="412"/>
      <c r="B12" s="412"/>
      <c r="C12" s="135" t="s">
        <v>91</v>
      </c>
      <c r="D12" s="280"/>
      <c r="E12" s="113">
        <v>482.76400000000001</v>
      </c>
      <c r="F12" s="113">
        <v>5289.2389999999996</v>
      </c>
      <c r="G12" s="274">
        <f t="shared" si="0"/>
        <v>1.0245377038996393E-2</v>
      </c>
      <c r="H12" s="274">
        <f>(E12-I12)/I12</f>
        <v>0.27351146588723796</v>
      </c>
      <c r="I12" s="280">
        <v>379.08099999999996</v>
      </c>
      <c r="J12" s="113">
        <v>4131.33</v>
      </c>
      <c r="K12" s="274">
        <f t="shared" si="2"/>
        <v>9.1911369817375202E-3</v>
      </c>
      <c r="L12" s="68"/>
      <c r="M12" s="79"/>
      <c r="N12" s="79"/>
      <c r="O12" s="79"/>
      <c r="P12" s="79"/>
      <c r="Q12" s="79"/>
      <c r="R12" s="79"/>
      <c r="S12" s="79"/>
    </row>
    <row r="13" spans="1:21" ht="12.95" customHeight="1">
      <c r="A13" s="417"/>
      <c r="B13" s="417"/>
      <c r="C13" s="285" t="s">
        <v>0</v>
      </c>
      <c r="D13" s="288">
        <v>110783</v>
      </c>
      <c r="E13" s="286">
        <v>47120.179000000004</v>
      </c>
      <c r="F13" s="286">
        <v>516256.15145299997</v>
      </c>
      <c r="G13" s="287">
        <f>SUM(G7:G12)</f>
        <v>0.99999999999999989</v>
      </c>
      <c r="H13" s="287">
        <f>(E13-I13)/I13</f>
        <v>0.14246828459614633</v>
      </c>
      <c r="I13" s="288">
        <v>41244.190001000003</v>
      </c>
      <c r="J13" s="286">
        <v>449486.29685500002</v>
      </c>
      <c r="K13" s="287">
        <f>SUM(K7:K12)</f>
        <v>1</v>
      </c>
      <c r="L13" s="68"/>
      <c r="M13" s="79"/>
      <c r="N13" s="79"/>
      <c r="O13" s="79"/>
      <c r="P13" s="79"/>
      <c r="Q13" s="79"/>
      <c r="R13" s="79"/>
      <c r="S13" s="79"/>
    </row>
    <row r="14" spans="1:21" ht="12.95" customHeight="1">
      <c r="A14" s="418" t="str">
        <f>'3.1'!E5</f>
        <v>Únor</v>
      </c>
      <c r="B14" s="418"/>
      <c r="C14" s="145" t="s">
        <v>4</v>
      </c>
      <c r="D14" s="279">
        <v>86</v>
      </c>
      <c r="E14" s="275">
        <v>9486.270192</v>
      </c>
      <c r="F14" s="275">
        <v>103583.430106</v>
      </c>
      <c r="G14" s="276">
        <f>E14/$E$20</f>
        <v>0.26873742678328344</v>
      </c>
      <c r="H14" s="276">
        <f>(E14-I14)/I14</f>
        <v>3.5648440994188652E-2</v>
      </c>
      <c r="I14" s="279">
        <v>9159.7397500000006</v>
      </c>
      <c r="J14" s="275">
        <v>99603.926019000006</v>
      </c>
      <c r="K14" s="276">
        <f>I14/$I$20</f>
        <v>0.24293150030827451</v>
      </c>
      <c r="L14" s="68"/>
      <c r="M14" s="79"/>
      <c r="N14" s="79"/>
      <c r="O14" s="79"/>
      <c r="P14" s="79"/>
      <c r="Q14" s="79"/>
      <c r="R14" s="79"/>
      <c r="S14" s="79"/>
    </row>
    <row r="15" spans="1:21" ht="12.95" customHeight="1">
      <c r="A15" s="412"/>
      <c r="B15" s="412"/>
      <c r="C15" s="135" t="s">
        <v>5</v>
      </c>
      <c r="D15" s="280">
        <v>305</v>
      </c>
      <c r="E15" s="113">
        <v>4636.2620850000003</v>
      </c>
      <c r="F15" s="113">
        <v>50624.736577000003</v>
      </c>
      <c r="G15" s="274">
        <f t="shared" ref="G15:G19" si="3">E15/$E$20</f>
        <v>0.13134109796561871</v>
      </c>
      <c r="H15" s="274">
        <f t="shared" ref="H15:H17" si="4">(E15-I15)/I15</f>
        <v>-0.1614197070395833</v>
      </c>
      <c r="I15" s="280">
        <v>5528.7038389999998</v>
      </c>
      <c r="J15" s="113">
        <v>60119.678404999999</v>
      </c>
      <c r="K15" s="274">
        <f t="shared" ref="K15:K19" si="5">I15/$I$20</f>
        <v>0.14663040162995752</v>
      </c>
      <c r="L15" s="86"/>
      <c r="M15" s="79"/>
      <c r="N15" s="79"/>
      <c r="O15" s="79"/>
      <c r="P15" s="79"/>
      <c r="Q15" s="79"/>
      <c r="R15" s="79"/>
      <c r="S15" s="79"/>
    </row>
    <row r="16" spans="1:21" ht="12.95" customHeight="1">
      <c r="A16" s="412"/>
      <c r="B16" s="412"/>
      <c r="C16" s="135" t="s">
        <v>6</v>
      </c>
      <c r="D16" s="280">
        <v>10759</v>
      </c>
      <c r="E16" s="113">
        <v>8118.7340750000003</v>
      </c>
      <c r="F16" s="113">
        <v>88650.892981000012</v>
      </c>
      <c r="G16" s="274">
        <f t="shared" si="3"/>
        <v>0.22999636947862101</v>
      </c>
      <c r="H16" s="274">
        <f t="shared" si="4"/>
        <v>-8.4661458132881021E-2</v>
      </c>
      <c r="I16" s="280">
        <v>8869.6517230000009</v>
      </c>
      <c r="J16" s="113">
        <v>96449.479800999994</v>
      </c>
      <c r="K16" s="274">
        <f>I16/$I$20</f>
        <v>0.23523788438206031</v>
      </c>
      <c r="L16" s="68"/>
      <c r="M16" s="79"/>
      <c r="N16" s="79"/>
      <c r="O16" s="79"/>
      <c r="P16" s="79"/>
      <c r="Q16" s="79"/>
      <c r="R16" s="79"/>
      <c r="S16" s="79"/>
    </row>
    <row r="17" spans="1:20" ht="12.95" customHeight="1">
      <c r="A17" s="412"/>
      <c r="B17" s="412"/>
      <c r="C17" s="135" t="s">
        <v>7</v>
      </c>
      <c r="D17" s="280">
        <v>99527</v>
      </c>
      <c r="E17" s="113">
        <v>12383.119649</v>
      </c>
      <c r="F17" s="113">
        <v>135230.317385</v>
      </c>
      <c r="G17" s="274">
        <f t="shared" si="3"/>
        <v>0.35080254332500427</v>
      </c>
      <c r="H17" s="274">
        <f t="shared" si="4"/>
        <v>-8.466145814644338E-2</v>
      </c>
      <c r="I17" s="280">
        <v>13528.458688000001</v>
      </c>
      <c r="J17" s="113">
        <v>147109.823626</v>
      </c>
      <c r="K17" s="274">
        <f>I17/$I$20</f>
        <v>0.3587971771724574</v>
      </c>
      <c r="L17" s="68"/>
      <c r="M17" s="79"/>
      <c r="N17" s="79"/>
      <c r="O17" s="79"/>
      <c r="P17" s="79"/>
      <c r="Q17" s="79"/>
      <c r="R17" s="79"/>
      <c r="S17" s="79"/>
    </row>
    <row r="18" spans="1:20" ht="12.95" customHeight="1">
      <c r="A18" s="412"/>
      <c r="B18" s="412"/>
      <c r="C18" s="135" t="s">
        <v>90</v>
      </c>
      <c r="D18" s="280">
        <v>20</v>
      </c>
      <c r="E18" s="113">
        <v>268.72300000000001</v>
      </c>
      <c r="F18" s="113">
        <v>2934.137929</v>
      </c>
      <c r="G18" s="274">
        <f t="shared" si="3"/>
        <v>7.6126787531716851E-3</v>
      </c>
      <c r="H18" s="274">
        <f>(E18-I18)/I18</f>
        <v>-6.3503458850999256E-2</v>
      </c>
      <c r="I18" s="280">
        <v>286.94499999999999</v>
      </c>
      <c r="J18" s="113">
        <v>3120.5279060000003</v>
      </c>
      <c r="K18" s="274">
        <f>I18/$I$20</f>
        <v>7.6102576337889758E-3</v>
      </c>
      <c r="L18" s="68"/>
      <c r="M18" s="79"/>
      <c r="N18" s="79"/>
      <c r="O18" s="79"/>
      <c r="P18" s="79"/>
      <c r="Q18" s="79"/>
      <c r="R18" s="79"/>
      <c r="S18" s="79"/>
    </row>
    <row r="19" spans="1:20" ht="12.95" customHeight="1">
      <c r="A19" s="412"/>
      <c r="B19" s="412"/>
      <c r="C19" s="135" t="s">
        <v>91</v>
      </c>
      <c r="D19" s="280"/>
      <c r="E19" s="113">
        <v>406.29199999999997</v>
      </c>
      <c r="F19" s="113">
        <v>4436.6000000000004</v>
      </c>
      <c r="G19" s="274">
        <f t="shared" si="3"/>
        <v>1.1509883694300935E-2</v>
      </c>
      <c r="H19" s="274">
        <f t="shared" ref="H19" si="6">(E19-I19)/I19</f>
        <v>0.22549859440415987</v>
      </c>
      <c r="I19" s="280">
        <v>331.53200000000004</v>
      </c>
      <c r="J19" s="113">
        <v>3605.1800000000003</v>
      </c>
      <c r="K19" s="274">
        <f t="shared" si="5"/>
        <v>8.7927788734612107E-3</v>
      </c>
      <c r="L19" s="68"/>
      <c r="M19" s="79"/>
      <c r="N19" s="79"/>
      <c r="O19" s="79"/>
      <c r="P19" s="79"/>
      <c r="Q19" s="79"/>
      <c r="R19" s="79"/>
      <c r="S19" s="79"/>
    </row>
    <row r="20" spans="1:20" ht="12.95" customHeight="1">
      <c r="A20" s="417"/>
      <c r="B20" s="417"/>
      <c r="C20" s="285" t="s">
        <v>0</v>
      </c>
      <c r="D20" s="288">
        <v>110697</v>
      </c>
      <c r="E20" s="286">
        <v>35299.401000999998</v>
      </c>
      <c r="F20" s="286">
        <v>385460.114978</v>
      </c>
      <c r="G20" s="287">
        <f>SUM(G14:G19)</f>
        <v>1</v>
      </c>
      <c r="H20" s="287">
        <f>(E20-I20)/I20</f>
        <v>-6.3801300123583093E-2</v>
      </c>
      <c r="I20" s="288">
        <v>37705.031000000003</v>
      </c>
      <c r="J20" s="286">
        <v>410008.61575699993</v>
      </c>
      <c r="K20" s="287">
        <f>SUM(K14:K19)</f>
        <v>0.99999999999999989</v>
      </c>
      <c r="L20" s="68"/>
      <c r="M20" s="79"/>
      <c r="N20" s="79"/>
      <c r="O20" s="79"/>
      <c r="P20" s="79"/>
      <c r="Q20" s="79"/>
      <c r="R20" s="79"/>
      <c r="S20" s="79"/>
    </row>
    <row r="21" spans="1:20" ht="12.95" customHeight="1">
      <c r="A21" s="418" t="str">
        <f>'3.1'!F5</f>
        <v>Březen</v>
      </c>
      <c r="B21" s="418"/>
      <c r="C21" s="145" t="s">
        <v>4</v>
      </c>
      <c r="D21" s="279">
        <v>87</v>
      </c>
      <c r="E21" s="275">
        <v>9126.6300250000004</v>
      </c>
      <c r="F21" s="275">
        <v>100065.284252</v>
      </c>
      <c r="G21" s="276">
        <f>E21/$E$27</f>
        <v>0.30699496640689067</v>
      </c>
      <c r="H21" s="276">
        <f>(E21-I21)/I21</f>
        <v>2.3214183252582375E-2</v>
      </c>
      <c r="I21" s="279">
        <v>8919.5695039999991</v>
      </c>
      <c r="J21" s="275">
        <v>97725.479357999997</v>
      </c>
      <c r="K21" s="276">
        <f>I21/$I$27</f>
        <v>0.29760395910769638</v>
      </c>
      <c r="L21" s="78"/>
      <c r="M21" s="79"/>
      <c r="N21" s="79"/>
      <c r="O21" s="79"/>
      <c r="P21" s="79"/>
      <c r="Q21" s="79"/>
      <c r="R21" s="79"/>
      <c r="S21" s="79"/>
      <c r="T21" s="78"/>
    </row>
    <row r="22" spans="1:20" ht="12.95" customHeight="1">
      <c r="A22" s="412"/>
      <c r="B22" s="412"/>
      <c r="C22" s="135" t="s">
        <v>5</v>
      </c>
      <c r="D22" s="280">
        <v>283</v>
      </c>
      <c r="E22" s="113">
        <v>3783.0436279999999</v>
      </c>
      <c r="F22" s="113">
        <v>41477.668635999995</v>
      </c>
      <c r="G22" s="274">
        <f t="shared" ref="G22:G26" si="7">E22/$E$27</f>
        <v>0.12725127986040627</v>
      </c>
      <c r="H22" s="274">
        <f t="shared" ref="H22:H26" si="8">(E22-I22)/I22</f>
        <v>-0.11732651681263764</v>
      </c>
      <c r="I22" s="280">
        <v>4285.8924619999998</v>
      </c>
      <c r="J22" s="113">
        <v>46957.523587000003</v>
      </c>
      <c r="K22" s="274">
        <f t="shared" ref="K22:K26" si="9">I22/$I$27</f>
        <v>0.14300001411828586</v>
      </c>
      <c r="L22" s="78"/>
      <c r="M22" s="79"/>
      <c r="N22" s="79"/>
      <c r="O22" s="79"/>
      <c r="P22" s="79"/>
      <c r="Q22" s="79"/>
      <c r="R22" s="79"/>
      <c r="S22" s="79"/>
      <c r="T22" s="78"/>
    </row>
    <row r="23" spans="1:20" ht="12.95" customHeight="1">
      <c r="A23" s="412"/>
      <c r="B23" s="412"/>
      <c r="C23" s="135" t="s">
        <v>6</v>
      </c>
      <c r="D23" s="280">
        <v>10774</v>
      </c>
      <c r="E23" s="113">
        <v>6387.9474179999997</v>
      </c>
      <c r="F23" s="113">
        <v>70038.094283999992</v>
      </c>
      <c r="G23" s="274">
        <f t="shared" si="7"/>
        <v>0.2148731456875172</v>
      </c>
      <c r="H23" s="274">
        <f t="shared" si="8"/>
        <v>-3.5344871201834238E-3</v>
      </c>
      <c r="I23" s="280">
        <v>6410.6056209999997</v>
      </c>
      <c r="J23" s="113">
        <v>70236.518366999997</v>
      </c>
      <c r="K23" s="274">
        <f t="shared" si="9"/>
        <v>0.21389166957352435</v>
      </c>
      <c r="L23" s="78"/>
      <c r="M23" s="79"/>
      <c r="N23" s="79"/>
      <c r="O23" s="79"/>
      <c r="P23" s="79"/>
      <c r="Q23" s="79"/>
      <c r="R23" s="79"/>
      <c r="S23" s="79"/>
      <c r="T23" s="78"/>
    </row>
    <row r="24" spans="1:20" ht="12.95" customHeight="1">
      <c r="A24" s="412"/>
      <c r="B24" s="412"/>
      <c r="C24" s="135" t="s">
        <v>7</v>
      </c>
      <c r="D24" s="280">
        <v>99437</v>
      </c>
      <c r="E24" s="113">
        <v>9743.2329299999983</v>
      </c>
      <c r="F24" s="113">
        <v>106839.87917</v>
      </c>
      <c r="G24" s="274">
        <f t="shared" si="7"/>
        <v>0.32773580805253033</v>
      </c>
      <c r="H24" s="274">
        <f t="shared" si="8"/>
        <v>-3.5344871872700764E-3</v>
      </c>
      <c r="I24" s="280">
        <v>9777.7924119999989</v>
      </c>
      <c r="J24" s="113">
        <v>107127.62100500001</v>
      </c>
      <c r="K24" s="274">
        <f t="shared" si="9"/>
        <v>0.32623880915322612</v>
      </c>
      <c r="L24" s="78"/>
      <c r="M24" s="79"/>
      <c r="N24" s="79"/>
      <c r="O24" s="79"/>
      <c r="P24" s="79"/>
      <c r="Q24" s="79"/>
      <c r="R24" s="79"/>
      <c r="S24" s="79"/>
      <c r="T24" s="78"/>
    </row>
    <row r="25" spans="1:20" ht="12.95" customHeight="1">
      <c r="A25" s="412"/>
      <c r="B25" s="412"/>
      <c r="C25" s="135" t="s">
        <v>90</v>
      </c>
      <c r="D25" s="280">
        <v>20</v>
      </c>
      <c r="E25" s="113">
        <v>305.57800000000003</v>
      </c>
      <c r="F25" s="113">
        <v>3350.5468740000001</v>
      </c>
      <c r="G25" s="274">
        <f t="shared" si="7"/>
        <v>1.0278811301402003E-2</v>
      </c>
      <c r="H25" s="274">
        <f t="shared" si="8"/>
        <v>-9.683503691268457E-3</v>
      </c>
      <c r="I25" s="280">
        <v>308.56599999999997</v>
      </c>
      <c r="J25" s="113">
        <v>3382.4732210000002</v>
      </c>
      <c r="K25" s="274">
        <f t="shared" si="9"/>
        <v>1.0295391857739757E-2</v>
      </c>
      <c r="L25" s="78"/>
      <c r="M25" s="79"/>
      <c r="N25" s="79"/>
      <c r="O25" s="79"/>
      <c r="P25" s="79"/>
      <c r="Q25" s="79"/>
      <c r="R25" s="79"/>
      <c r="S25" s="79"/>
      <c r="T25" s="78"/>
    </row>
    <row r="26" spans="1:20" ht="12.95" customHeight="1">
      <c r="A26" s="412"/>
      <c r="B26" s="412"/>
      <c r="C26" s="135" t="s">
        <v>91</v>
      </c>
      <c r="D26" s="280"/>
      <c r="E26" s="113">
        <v>382.49200000000002</v>
      </c>
      <c r="F26" s="113">
        <v>4193.8249999999998</v>
      </c>
      <c r="G26" s="274">
        <f t="shared" si="7"/>
        <v>1.2865988691253475E-2</v>
      </c>
      <c r="H26" s="274">
        <f t="shared" si="8"/>
        <v>0.42271254654134155</v>
      </c>
      <c r="I26" s="280">
        <v>268.84699999999998</v>
      </c>
      <c r="J26" s="113">
        <v>2944.9839999999999</v>
      </c>
      <c r="K26" s="274">
        <f t="shared" si="9"/>
        <v>8.9701561895275568E-3</v>
      </c>
      <c r="L26" s="78"/>
      <c r="M26" s="79"/>
      <c r="N26" s="79"/>
      <c r="O26" s="79"/>
      <c r="P26" s="79"/>
      <c r="Q26" s="79"/>
      <c r="R26" s="79"/>
      <c r="S26" s="79"/>
      <c r="T26" s="78"/>
    </row>
    <row r="27" spans="1:20" ht="12.95" customHeight="1">
      <c r="A27" s="417"/>
      <c r="B27" s="417"/>
      <c r="C27" s="285" t="s">
        <v>0</v>
      </c>
      <c r="D27" s="288">
        <v>110601</v>
      </c>
      <c r="E27" s="286">
        <v>29728.924000999999</v>
      </c>
      <c r="F27" s="286">
        <v>325965.29821600002</v>
      </c>
      <c r="G27" s="287">
        <f>SUM(G21:G26)</f>
        <v>0.99999999999999989</v>
      </c>
      <c r="H27" s="287">
        <f>(E27-I27)/I27</f>
        <v>-8.0860428587095287E-3</v>
      </c>
      <c r="I27" s="288">
        <v>29971.272998999997</v>
      </c>
      <c r="J27" s="286">
        <v>328374.59953800001</v>
      </c>
      <c r="K27" s="287">
        <f>SUM(K21:K26)</f>
        <v>1</v>
      </c>
      <c r="M27" s="79"/>
      <c r="N27" s="79"/>
      <c r="O27" s="79"/>
      <c r="P27" s="79"/>
      <c r="Q27" s="79"/>
      <c r="R27" s="79"/>
      <c r="S27" s="79"/>
    </row>
    <row r="28" spans="1:20" ht="12.95" customHeight="1">
      <c r="A28" s="476" t="str">
        <f>'3.1'!G5</f>
        <v>I. čtvrtletí</v>
      </c>
      <c r="B28" s="418"/>
      <c r="C28" s="145" t="s">
        <v>4</v>
      </c>
      <c r="D28" s="279">
        <f>D21</f>
        <v>87</v>
      </c>
      <c r="E28" s="275">
        <f>E7+E14+E21</f>
        <v>29036.325151999998</v>
      </c>
      <c r="F28" s="275">
        <f>F7+F14+F21</f>
        <v>317852.96966399997</v>
      </c>
      <c r="G28" s="276">
        <f>E28/$E$34</f>
        <v>0.25890960749224246</v>
      </c>
      <c r="H28" s="276">
        <f>(E28-I28)/I28</f>
        <v>4.545334876565145E-2</v>
      </c>
      <c r="I28" s="279">
        <f>I7+I14+I21</f>
        <v>27773.908024</v>
      </c>
      <c r="J28" s="275">
        <f>J7+J14+J21</f>
        <v>302983.08168800001</v>
      </c>
      <c r="K28" s="276">
        <f>I28/$I$34</f>
        <v>0.25499249043068056</v>
      </c>
      <c r="M28" s="79"/>
      <c r="N28" s="79"/>
      <c r="O28" s="79"/>
      <c r="P28" s="79"/>
      <c r="Q28" s="79"/>
      <c r="R28" s="79"/>
      <c r="S28" s="79"/>
    </row>
    <row r="29" spans="1:20" ht="12.95" customHeight="1">
      <c r="A29" s="412"/>
      <c r="B29" s="412"/>
      <c r="C29" s="135" t="s">
        <v>5</v>
      </c>
      <c r="D29" s="280">
        <f t="shared" ref="D29:D32" si="10">D22</f>
        <v>283</v>
      </c>
      <c r="E29" s="113">
        <f>E8+E15+E22</f>
        <v>14591.494654</v>
      </c>
      <c r="F29" s="113">
        <f t="shared" ref="F29" si="11">F8+F15+F22</f>
        <v>159727.993334</v>
      </c>
      <c r="G29" s="274">
        <f t="shared" ref="G29:G33" si="12">E29/$E$34</f>
        <v>0.13010868743946674</v>
      </c>
      <c r="H29" s="274">
        <f t="shared" ref="H29:H31" si="13">(E29-I29)/I29</f>
        <v>-6.1823588362954568E-2</v>
      </c>
      <c r="I29" s="280">
        <f>I8+I15+I22</f>
        <v>15553.039357</v>
      </c>
      <c r="J29" s="113">
        <f t="shared" ref="J29" si="14">J8+J15+J22</f>
        <v>169615.90210000001</v>
      </c>
      <c r="K29" s="274">
        <f t="shared" ref="K29:K33" si="15">I29/$I$34</f>
        <v>0.14279258921649768</v>
      </c>
      <c r="M29" s="79"/>
      <c r="N29" s="79"/>
      <c r="O29" s="79"/>
      <c r="P29" s="79"/>
      <c r="Q29" s="79"/>
      <c r="R29" s="79"/>
      <c r="S29" s="79"/>
    </row>
    <row r="30" spans="1:20" ht="12.95" customHeight="1">
      <c r="A30" s="412"/>
      <c r="B30" s="412"/>
      <c r="C30" s="135" t="s">
        <v>6</v>
      </c>
      <c r="D30" s="280">
        <f t="shared" si="10"/>
        <v>10774</v>
      </c>
      <c r="E30" s="113">
        <f t="shared" ref="E30:F33" si="16">E9+E16+E23</f>
        <v>26286.862614000001</v>
      </c>
      <c r="F30" s="113">
        <f t="shared" si="16"/>
        <v>287758.54172099999</v>
      </c>
      <c r="G30" s="274">
        <f t="shared" si="12"/>
        <v>0.23439334164931186</v>
      </c>
      <c r="H30" s="274">
        <f t="shared" si="13"/>
        <v>4.2206660611187413E-2</v>
      </c>
      <c r="I30" s="280">
        <f t="shared" ref="I30:J32" si="17">I9+I16+I23</f>
        <v>25222.313009000001</v>
      </c>
      <c r="J30" s="113">
        <f t="shared" si="17"/>
        <v>275036.50921799999</v>
      </c>
      <c r="K30" s="274">
        <f t="shared" si="15"/>
        <v>0.23156627446988998</v>
      </c>
      <c r="M30" s="79"/>
      <c r="N30" s="79"/>
      <c r="O30" s="79"/>
      <c r="P30" s="79"/>
      <c r="Q30" s="79"/>
      <c r="R30" s="79"/>
      <c r="S30" s="79"/>
    </row>
    <row r="31" spans="1:20" ht="12.95" customHeight="1">
      <c r="A31" s="412"/>
      <c r="B31" s="412"/>
      <c r="C31" s="135" t="s">
        <v>7</v>
      </c>
      <c r="D31" s="280">
        <f t="shared" si="10"/>
        <v>99437</v>
      </c>
      <c r="E31" s="113">
        <f>E10+E17+E24</f>
        <v>40094.103581999996</v>
      </c>
      <c r="F31" s="113">
        <f t="shared" si="16"/>
        <v>438918.163421</v>
      </c>
      <c r="G31" s="274">
        <f t="shared" si="12"/>
        <v>0.35750903624434421</v>
      </c>
      <c r="H31" s="274">
        <f t="shared" si="13"/>
        <v>4.2206660577498008E-2</v>
      </c>
      <c r="I31" s="280">
        <f>I10+I17+I24</f>
        <v>38470.396609999996</v>
      </c>
      <c r="J31" s="113">
        <f t="shared" si="17"/>
        <v>419497.61722399999</v>
      </c>
      <c r="K31" s="274">
        <f t="shared" si="15"/>
        <v>0.35319704490139386</v>
      </c>
      <c r="M31" s="79"/>
      <c r="N31" s="79"/>
      <c r="O31" s="79"/>
      <c r="P31" s="79"/>
      <c r="Q31" s="79"/>
      <c r="R31" s="79"/>
      <c r="S31" s="79"/>
    </row>
    <row r="32" spans="1:20" ht="12.95" customHeight="1">
      <c r="A32" s="412"/>
      <c r="B32" s="412"/>
      <c r="C32" s="135" t="s">
        <v>90</v>
      </c>
      <c r="D32" s="280">
        <f t="shared" si="10"/>
        <v>20</v>
      </c>
      <c r="E32" s="113">
        <f>E11+E18+E25</f>
        <v>868.17000000000007</v>
      </c>
      <c r="F32" s="113">
        <f t="shared" si="16"/>
        <v>9504.2325070000006</v>
      </c>
      <c r="G32" s="274">
        <f t="shared" si="12"/>
        <v>7.7412535077999584E-3</v>
      </c>
      <c r="H32" s="274">
        <f>(E32-I32)/I32</f>
        <v>-5.7747263063870583E-2</v>
      </c>
      <c r="I32" s="280">
        <f>I11+I18+I25</f>
        <v>921.37699999999995</v>
      </c>
      <c r="J32" s="113">
        <f t="shared" si="17"/>
        <v>10054.907920000001</v>
      </c>
      <c r="K32" s="274">
        <f t="shared" si="15"/>
        <v>8.4591702274137686E-3</v>
      </c>
      <c r="M32" s="79"/>
      <c r="N32" s="79"/>
      <c r="O32" s="79"/>
      <c r="P32" s="79"/>
      <c r="Q32" s="79"/>
      <c r="R32" s="79"/>
      <c r="S32" s="79"/>
    </row>
    <row r="33" spans="1:20" ht="12.95" customHeight="1">
      <c r="A33" s="412"/>
      <c r="B33" s="412"/>
      <c r="C33" s="135" t="s">
        <v>91</v>
      </c>
      <c r="D33" s="280"/>
      <c r="E33" s="113">
        <f t="shared" si="16"/>
        <v>1271.548</v>
      </c>
      <c r="F33" s="113">
        <f t="shared" si="16"/>
        <v>13919.664000000001</v>
      </c>
      <c r="G33" s="274">
        <f t="shared" si="12"/>
        <v>1.133807366683486E-2</v>
      </c>
      <c r="H33" s="274">
        <f t="shared" ref="H33" si="18">(E33-I33)/I33</f>
        <v>0.29821330120678735</v>
      </c>
      <c r="I33" s="280">
        <f t="shared" ref="I33:J33" si="19">I12+I19+I26</f>
        <v>979.46</v>
      </c>
      <c r="J33" s="113">
        <f t="shared" si="19"/>
        <v>10681.494000000001</v>
      </c>
      <c r="K33" s="274">
        <f t="shared" si="15"/>
        <v>8.992430754124198E-3</v>
      </c>
      <c r="M33" s="79"/>
      <c r="N33" s="79"/>
      <c r="O33" s="79"/>
      <c r="P33" s="79"/>
      <c r="Q33" s="79"/>
      <c r="R33" s="79"/>
      <c r="S33" s="79"/>
    </row>
    <row r="34" spans="1:20" ht="12.95" customHeight="1">
      <c r="A34" s="417"/>
      <c r="B34" s="417"/>
      <c r="C34" s="285" t="s">
        <v>0</v>
      </c>
      <c r="D34" s="288">
        <f>SUM(D28:D33)</f>
        <v>110601</v>
      </c>
      <c r="E34" s="286">
        <f>SUM(E28:E33)</f>
        <v>112148.50400199999</v>
      </c>
      <c r="F34" s="286">
        <f>SUM(F28:F33)</f>
        <v>1227681.5646470001</v>
      </c>
      <c r="G34" s="287">
        <f>SUM(G28:G33)</f>
        <v>1</v>
      </c>
      <c r="H34" s="287">
        <f>(E34-I34)/I34</f>
        <v>2.9636387822478988E-2</v>
      </c>
      <c r="I34" s="288">
        <f>SUM(I28:I33)</f>
        <v>108920.49399999999</v>
      </c>
      <c r="J34" s="286">
        <f>SUM(J28:J33)</f>
        <v>1187869.5121499998</v>
      </c>
      <c r="K34" s="287">
        <f>SUM(K28:K33)</f>
        <v>0.99999999999999989</v>
      </c>
      <c r="M34" s="79"/>
      <c r="N34" s="79"/>
      <c r="O34" s="79"/>
      <c r="P34" s="79"/>
      <c r="Q34" s="79"/>
      <c r="R34" s="79"/>
      <c r="S34" s="79"/>
    </row>
    <row r="35" spans="1:20" ht="20.100000000000001" customHeight="1">
      <c r="A35" s="110"/>
      <c r="B35" s="270"/>
      <c r="C35" s="90"/>
      <c r="D35" s="78"/>
      <c r="E35" s="78"/>
      <c r="F35" s="78"/>
      <c r="G35" s="473" t="s">
        <v>258</v>
      </c>
      <c r="H35" s="473"/>
      <c r="I35" s="473"/>
      <c r="J35" s="473"/>
      <c r="K35" s="473"/>
    </row>
    <row r="36" spans="1:20" ht="15" customHeight="1">
      <c r="A36" s="465" t="s">
        <v>257</v>
      </c>
      <c r="B36" s="465"/>
      <c r="C36" s="465"/>
      <c r="D36" s="465"/>
      <c r="E36" s="465"/>
      <c r="F36" s="104"/>
      <c r="G36" s="473"/>
      <c r="H36" s="473"/>
      <c r="I36" s="473"/>
      <c r="J36" s="473"/>
      <c r="K36" s="473"/>
      <c r="M36" s="68"/>
      <c r="N36" s="68"/>
      <c r="O36" s="68"/>
      <c r="P36" s="68"/>
      <c r="Q36" s="68"/>
      <c r="R36" s="68"/>
      <c r="S36" s="68"/>
    </row>
    <row r="37" spans="1:20" ht="15" customHeight="1">
      <c r="A37" s="466" t="str">
        <f>A28</f>
        <v>I. čtvrtletí</v>
      </c>
      <c r="B37" s="467"/>
      <c r="C37" s="467"/>
      <c r="D37" s="467"/>
      <c r="E37" s="467"/>
      <c r="F37" s="109"/>
      <c r="G37" s="468" t="str">
        <f>A28</f>
        <v>I. čtvrtletí</v>
      </c>
      <c r="H37" s="468"/>
      <c r="I37" s="468"/>
      <c r="J37" s="468"/>
      <c r="K37" s="468"/>
      <c r="M37" s="68"/>
      <c r="N37" s="68"/>
      <c r="O37" s="68"/>
      <c r="P37" s="68"/>
      <c r="Q37" s="68"/>
      <c r="R37" s="68"/>
      <c r="S37" s="68"/>
    </row>
    <row r="38" spans="1:20" ht="15" customHeight="1">
      <c r="A38" s="83"/>
      <c r="B38" s="83"/>
      <c r="C38" s="83"/>
      <c r="G38" s="83"/>
      <c r="H38" s="83"/>
      <c r="I38" s="83"/>
      <c r="J38" s="83"/>
      <c r="K38" s="83"/>
      <c r="M38" s="68"/>
      <c r="N38" s="68"/>
      <c r="O38" s="68"/>
      <c r="P38" s="68"/>
      <c r="Q38" s="68"/>
      <c r="R38" s="68"/>
      <c r="S38" s="68"/>
      <c r="T38" s="68"/>
    </row>
    <row r="39" spans="1:20" ht="15" customHeight="1">
      <c r="A39" s="83"/>
      <c r="B39" s="83"/>
      <c r="C39" s="83"/>
      <c r="G39" s="83"/>
      <c r="H39" s="83"/>
      <c r="I39" s="83"/>
      <c r="J39" s="83"/>
      <c r="K39" s="83"/>
    </row>
    <row r="40" spans="1:20" ht="15" customHeight="1">
      <c r="A40" s="83"/>
      <c r="B40" s="83"/>
      <c r="C40" s="83"/>
      <c r="G40" s="83"/>
      <c r="H40" s="83"/>
      <c r="I40" s="83"/>
      <c r="J40" s="83"/>
      <c r="K40" s="83"/>
    </row>
    <row r="41" spans="1:20" ht="15" customHeight="1">
      <c r="A41" s="83"/>
      <c r="B41" s="83"/>
      <c r="C41" s="83">
        <f>D3</f>
        <v>2026</v>
      </c>
      <c r="D41" s="83">
        <f>I3</f>
        <v>2025</v>
      </c>
      <c r="H41" s="83"/>
      <c r="I41" s="83">
        <f>D3</f>
        <v>2026</v>
      </c>
      <c r="J41" s="83">
        <f>I3</f>
        <v>2025</v>
      </c>
      <c r="K41" s="83"/>
    </row>
    <row r="42" spans="1:20" ht="15" customHeight="1">
      <c r="A42" s="83"/>
      <c r="B42" s="83" t="str">
        <f>A7</f>
        <v>Leden</v>
      </c>
      <c r="C42" s="69">
        <f>E13</f>
        <v>47120.179000000004</v>
      </c>
      <c r="D42" s="69">
        <f>I13</f>
        <v>41244.190001000003</v>
      </c>
      <c r="H42" s="83" t="str">
        <f>A7</f>
        <v>Leden</v>
      </c>
      <c r="I42" s="84">
        <f>E13/E34</f>
        <v>0.420158783385641</v>
      </c>
      <c r="J42" s="84">
        <f>I13/I34</f>
        <v>0.37866326607920092</v>
      </c>
      <c r="K42" s="83"/>
    </row>
    <row r="43" spans="1:20" ht="15" customHeight="1">
      <c r="A43" s="83"/>
      <c r="B43" s="83" t="str">
        <f>A14</f>
        <v>Únor</v>
      </c>
      <c r="C43" s="69">
        <f>E20</f>
        <v>35299.401000999998</v>
      </c>
      <c r="D43" s="69">
        <f>I20</f>
        <v>37705.031000000003</v>
      </c>
      <c r="H43" s="83" t="str">
        <f>A14</f>
        <v>Únor</v>
      </c>
      <c r="I43" s="84">
        <f>E20/E34</f>
        <v>0.31475587940406669</v>
      </c>
      <c r="J43" s="84">
        <f>I20/I34</f>
        <v>0.34617021659854025</v>
      </c>
      <c r="K43" s="83"/>
    </row>
    <row r="44" spans="1:20" ht="15" customHeight="1">
      <c r="A44" s="83"/>
      <c r="B44" s="83" t="str">
        <f>A21</f>
        <v>Březen</v>
      </c>
      <c r="C44" s="69">
        <f>E27</f>
        <v>29728.924000999999</v>
      </c>
      <c r="D44" s="69">
        <f>I27</f>
        <v>29971.272998999997</v>
      </c>
      <c r="H44" s="83" t="str">
        <f>A21</f>
        <v>Březen</v>
      </c>
      <c r="I44" s="84">
        <f>E27/E34</f>
        <v>0.26508533721029248</v>
      </c>
      <c r="J44" s="84">
        <f>I27/I34</f>
        <v>0.27516651732225894</v>
      </c>
      <c r="K44" s="83"/>
    </row>
    <row r="45" spans="1:20" ht="15" customHeight="1">
      <c r="A45" s="83"/>
      <c r="B45" s="83"/>
      <c r="C45" s="69">
        <f>SUM(C42:C44)</f>
        <v>112148.504002</v>
      </c>
      <c r="D45" s="69">
        <f>SUM(D42:D44)</f>
        <v>108920.49399999999</v>
      </c>
      <c r="E45" s="83"/>
      <c r="F45" s="83"/>
      <c r="G45" s="83"/>
      <c r="H45" s="83"/>
      <c r="I45" s="85">
        <f>SUM(I42:I44)</f>
        <v>1</v>
      </c>
      <c r="J45" s="85">
        <f>SUM(J42:J44)</f>
        <v>1</v>
      </c>
      <c r="K45" s="83"/>
    </row>
    <row r="46" spans="1:20" ht="1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20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0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</row>
    <row r="53" spans="1:11" ht="1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</row>
    <row r="54" spans="1:11" ht="1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21">
    <mergeCell ref="A1:K1"/>
    <mergeCell ref="A2:C2"/>
    <mergeCell ref="I3:K4"/>
    <mergeCell ref="E3:G4"/>
    <mergeCell ref="A3:C4"/>
    <mergeCell ref="A5:B6"/>
    <mergeCell ref="A37:E37"/>
    <mergeCell ref="G37:K37"/>
    <mergeCell ref="A7:B13"/>
    <mergeCell ref="A14:B20"/>
    <mergeCell ref="A21:B27"/>
    <mergeCell ref="A28:B34"/>
    <mergeCell ref="A36:E36"/>
    <mergeCell ref="G5:G6"/>
    <mergeCell ref="H5:H6"/>
    <mergeCell ref="K5:K6"/>
    <mergeCell ref="E5:F5"/>
    <mergeCell ref="I5:J5"/>
    <mergeCell ref="G35:K36"/>
    <mergeCell ref="D5:D6"/>
    <mergeCell ref="C5:C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4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0"/>
  <sheetViews>
    <sheetView showGridLines="0" topLeftCell="A17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21" s="76" customFormat="1" ht="18">
      <c r="A1" s="446" t="s">
        <v>285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21" ht="6" customHeight="1">
      <c r="A2" s="452"/>
      <c r="B2" s="452"/>
      <c r="C2" s="452"/>
      <c r="D2" s="282"/>
      <c r="E2" s="282"/>
      <c r="F2" s="283"/>
      <c r="G2" s="284"/>
      <c r="H2" s="284"/>
      <c r="I2" s="284"/>
      <c r="J2" s="254"/>
      <c r="K2" s="254"/>
    </row>
    <row r="3" spans="1:21" ht="15" customHeight="1">
      <c r="A3" s="463" t="s">
        <v>33</v>
      </c>
      <c r="B3" s="463"/>
      <c r="C3" s="463"/>
      <c r="D3" s="308">
        <f>'3.1'!A4</f>
        <v>2026</v>
      </c>
      <c r="E3" s="458"/>
      <c r="F3" s="458"/>
      <c r="G3" s="458"/>
      <c r="H3" s="307"/>
      <c r="I3" s="457">
        <f>D3-1</f>
        <v>2025</v>
      </c>
      <c r="J3" s="458"/>
      <c r="K3" s="458"/>
    </row>
    <row r="4" spans="1:21" ht="50.1" customHeight="1">
      <c r="A4" s="464"/>
      <c r="B4" s="464"/>
      <c r="C4" s="464"/>
      <c r="D4" s="310"/>
      <c r="E4" s="460"/>
      <c r="F4" s="460"/>
      <c r="G4" s="460"/>
      <c r="H4" s="155"/>
      <c r="I4" s="459"/>
      <c r="J4" s="460"/>
      <c r="K4" s="460"/>
    </row>
    <row r="5" spans="1:21" ht="24.95" customHeight="1">
      <c r="A5" s="463" t="s">
        <v>155</v>
      </c>
      <c r="B5" s="463"/>
      <c r="C5" s="474" t="s">
        <v>180</v>
      </c>
      <c r="D5" s="461" t="s">
        <v>156</v>
      </c>
      <c r="E5" s="455" t="s">
        <v>59</v>
      </c>
      <c r="F5" s="455"/>
      <c r="G5" s="456" t="s">
        <v>32</v>
      </c>
      <c r="H5" s="456" t="s">
        <v>256</v>
      </c>
      <c r="I5" s="453" t="s">
        <v>59</v>
      </c>
      <c r="J5" s="454"/>
      <c r="K5" s="456" t="s">
        <v>32</v>
      </c>
    </row>
    <row r="6" spans="1:21" ht="22.5" customHeight="1">
      <c r="A6" s="464"/>
      <c r="B6" s="464"/>
      <c r="C6" s="475"/>
      <c r="D6" s="462"/>
      <c r="E6" s="199" t="s">
        <v>247</v>
      </c>
      <c r="F6" s="199" t="s">
        <v>248</v>
      </c>
      <c r="G6" s="451"/>
      <c r="H6" s="451"/>
      <c r="I6" s="201" t="s">
        <v>247</v>
      </c>
      <c r="J6" s="199" t="s">
        <v>248</v>
      </c>
      <c r="K6" s="451"/>
    </row>
    <row r="7" spans="1:21" ht="12.95" customHeight="1">
      <c r="A7" s="418" t="str">
        <f>'3.1'!D5</f>
        <v>Leden</v>
      </c>
      <c r="B7" s="418"/>
      <c r="C7" s="145" t="s">
        <v>4</v>
      </c>
      <c r="D7" s="279">
        <v>97</v>
      </c>
      <c r="E7" s="275">
        <v>89315.817000000025</v>
      </c>
      <c r="F7" s="275">
        <v>980170.38796199998</v>
      </c>
      <c r="G7" s="276">
        <f t="shared" ref="G7:G12" si="0">E7/$E$13</f>
        <v>0.98976447700823855</v>
      </c>
      <c r="H7" s="276">
        <f>(E7-I7)/I7</f>
        <v>1.1701787774566472</v>
      </c>
      <c r="I7" s="279">
        <v>41155.972000000009</v>
      </c>
      <c r="J7" s="275">
        <v>448459.32879900001</v>
      </c>
      <c r="K7" s="276">
        <f>I7/$I$13</f>
        <v>0.98155671072190065</v>
      </c>
      <c r="M7" s="79"/>
      <c r="N7" s="79"/>
      <c r="O7" s="79"/>
      <c r="P7" s="79"/>
      <c r="Q7" s="79"/>
      <c r="R7" s="79"/>
      <c r="S7" s="79"/>
      <c r="T7" s="79"/>
      <c r="U7" s="79"/>
    </row>
    <row r="8" spans="1:21" ht="12.95" customHeight="1">
      <c r="A8" s="412"/>
      <c r="B8" s="412"/>
      <c r="C8" s="135" t="s">
        <v>5</v>
      </c>
      <c r="D8" s="280">
        <v>115</v>
      </c>
      <c r="E8" s="113">
        <v>129.29300000000001</v>
      </c>
      <c r="F8" s="113">
        <v>1376.5619999999999</v>
      </c>
      <c r="G8" s="274">
        <f t="shared" si="0"/>
        <v>1.4327766662631117E-3</v>
      </c>
      <c r="H8" s="274">
        <f t="shared" ref="H8:H11" si="1">(E8-I8)/I8</f>
        <v>0.19971235037580043</v>
      </c>
      <c r="I8" s="280">
        <v>107.77</v>
      </c>
      <c r="J8" s="113">
        <v>1147.5039999999999</v>
      </c>
      <c r="K8" s="274">
        <f t="shared" ref="K8:K12" si="2">I8/$I$13</f>
        <v>2.5702798785677862E-3</v>
      </c>
      <c r="L8" s="68"/>
      <c r="M8" s="79"/>
      <c r="N8" s="79"/>
      <c r="O8" s="79"/>
      <c r="P8" s="79"/>
      <c r="Q8" s="79"/>
      <c r="R8" s="79"/>
      <c r="S8" s="79"/>
    </row>
    <row r="9" spans="1:21" ht="12.95" customHeight="1">
      <c r="A9" s="412"/>
      <c r="B9" s="412"/>
      <c r="C9" s="135" t="s">
        <v>6</v>
      </c>
      <c r="D9" s="280">
        <v>1167</v>
      </c>
      <c r="E9" s="113">
        <v>203.678</v>
      </c>
      <c r="F9" s="113">
        <v>2144.1370000000002</v>
      </c>
      <c r="G9" s="274">
        <f t="shared" si="0"/>
        <v>2.2570834138827163E-3</v>
      </c>
      <c r="H9" s="274">
        <f t="shared" si="1"/>
        <v>-7.4461760377377848E-3</v>
      </c>
      <c r="I9" s="280">
        <v>205.20600000000002</v>
      </c>
      <c r="J9" s="113">
        <v>2158.123</v>
      </c>
      <c r="K9" s="274">
        <f t="shared" si="2"/>
        <v>4.8940971769637302E-3</v>
      </c>
      <c r="L9" s="68"/>
      <c r="M9" s="79"/>
      <c r="N9" s="79"/>
      <c r="O9" s="79"/>
      <c r="P9" s="79"/>
      <c r="Q9" s="79"/>
      <c r="R9" s="79"/>
      <c r="S9" s="79"/>
    </row>
    <row r="10" spans="1:21" ht="12.95" customHeight="1">
      <c r="A10" s="412"/>
      <c r="B10" s="412"/>
      <c r="C10" s="135" t="s">
        <v>7</v>
      </c>
      <c r="D10" s="280">
        <v>8070</v>
      </c>
      <c r="E10" s="113">
        <v>0</v>
      </c>
      <c r="F10" s="113">
        <v>0</v>
      </c>
      <c r="G10" s="274">
        <f t="shared" si="0"/>
        <v>0</v>
      </c>
      <c r="H10" s="311" t="e">
        <f t="shared" si="1"/>
        <v>#DIV/0!</v>
      </c>
      <c r="I10" s="280">
        <v>0</v>
      </c>
      <c r="J10" s="113">
        <v>0</v>
      </c>
      <c r="K10" s="274">
        <f t="shared" si="2"/>
        <v>0</v>
      </c>
      <c r="L10" s="68"/>
      <c r="M10" s="79"/>
      <c r="N10" s="79"/>
      <c r="O10" s="79"/>
      <c r="P10" s="79"/>
      <c r="Q10" s="79"/>
      <c r="R10" s="79"/>
      <c r="S10" s="79"/>
    </row>
    <row r="11" spans="1:21" ht="12.95" customHeight="1">
      <c r="A11" s="412"/>
      <c r="B11" s="412"/>
      <c r="C11" s="135" t="s">
        <v>90</v>
      </c>
      <c r="D11" s="280">
        <v>8</v>
      </c>
      <c r="E11" s="113">
        <v>37.160000000000004</v>
      </c>
      <c r="F11" s="113">
        <v>388.334</v>
      </c>
      <c r="G11" s="274">
        <f t="shared" si="0"/>
        <v>4.1179322096584684E-4</v>
      </c>
      <c r="H11" s="274">
        <f t="shared" si="1"/>
        <v>-0.37317612131639755</v>
      </c>
      <c r="I11" s="280">
        <v>59.283000000000001</v>
      </c>
      <c r="J11" s="113">
        <v>620.21199999999999</v>
      </c>
      <c r="K11" s="274">
        <f t="shared" si="2"/>
        <v>1.4138805051603792E-3</v>
      </c>
      <c r="L11" s="68"/>
      <c r="M11" s="79"/>
      <c r="N11" s="79"/>
      <c r="O11" s="79"/>
      <c r="P11" s="79"/>
      <c r="Q11" s="79"/>
      <c r="R11" s="79"/>
      <c r="S11" s="79"/>
    </row>
    <row r="12" spans="1:21" ht="12.95" customHeight="1">
      <c r="A12" s="412"/>
      <c r="B12" s="412"/>
      <c r="C12" s="135" t="s">
        <v>93</v>
      </c>
      <c r="D12" s="280">
        <v>0</v>
      </c>
      <c r="E12" s="113">
        <v>553.51712000000009</v>
      </c>
      <c r="F12" s="113">
        <v>6098.1830440000012</v>
      </c>
      <c r="G12" s="274">
        <f t="shared" si="0"/>
        <v>6.133869690649601E-3</v>
      </c>
      <c r="H12" s="274">
        <f>(E12-I12)/I12</f>
        <v>0.38015281945778467</v>
      </c>
      <c r="I12" s="280">
        <v>401.05494999999945</v>
      </c>
      <c r="J12" s="113">
        <v>4417.7263480000165</v>
      </c>
      <c r="K12" s="274">
        <f t="shared" si="2"/>
        <v>9.565031717407517E-3</v>
      </c>
      <c r="L12" s="68"/>
      <c r="M12" s="79"/>
      <c r="N12" s="79"/>
      <c r="O12" s="79"/>
      <c r="P12" s="79"/>
      <c r="Q12" s="79"/>
      <c r="R12" s="79"/>
      <c r="S12" s="79"/>
    </row>
    <row r="13" spans="1:21" ht="12.95" customHeight="1">
      <c r="A13" s="417"/>
      <c r="B13" s="417"/>
      <c r="C13" s="285" t="s">
        <v>0</v>
      </c>
      <c r="D13" s="288">
        <v>9457</v>
      </c>
      <c r="E13" s="286">
        <v>90239.465120000037</v>
      </c>
      <c r="F13" s="286">
        <v>990177.60400599998</v>
      </c>
      <c r="G13" s="287">
        <f>SUM(G7:G12)</f>
        <v>0.99999999999999978</v>
      </c>
      <c r="H13" s="287">
        <f>(E13-I13)/I13</f>
        <v>1.1521822534161239</v>
      </c>
      <c r="I13" s="288">
        <v>41929.285950000005</v>
      </c>
      <c r="J13" s="286">
        <v>456802.89414700004</v>
      </c>
      <c r="K13" s="287">
        <f>SUM(K7:K12)</f>
        <v>1</v>
      </c>
      <c r="L13" s="68"/>
      <c r="M13" s="79"/>
      <c r="N13" s="79"/>
      <c r="O13" s="79"/>
      <c r="P13" s="79"/>
      <c r="Q13" s="79"/>
      <c r="R13" s="79"/>
      <c r="S13" s="79"/>
    </row>
    <row r="14" spans="1:21" ht="12.95" customHeight="1">
      <c r="A14" s="418" t="str">
        <f>'3.1'!E5</f>
        <v>Únor</v>
      </c>
      <c r="B14" s="418"/>
      <c r="C14" s="145" t="s">
        <v>4</v>
      </c>
      <c r="D14" s="279">
        <v>97</v>
      </c>
      <c r="E14" s="275">
        <v>60734.968000000008</v>
      </c>
      <c r="F14" s="275">
        <v>665485.63432999991</v>
      </c>
      <c r="G14" s="276">
        <f>E14/$E$20</f>
        <v>0.98796527844299686</v>
      </c>
      <c r="H14" s="276">
        <f>(E14-I14)/I14</f>
        <v>0.52719393587894325</v>
      </c>
      <c r="I14" s="279">
        <v>39768.994999999995</v>
      </c>
      <c r="J14" s="275">
        <v>434099.69212900003</v>
      </c>
      <c r="K14" s="276">
        <f>I14/$I$20</f>
        <v>0.98281264814384528</v>
      </c>
      <c r="L14" s="68"/>
      <c r="M14" s="79"/>
      <c r="N14" s="79"/>
      <c r="O14" s="79"/>
      <c r="P14" s="79"/>
      <c r="Q14" s="79"/>
      <c r="R14" s="79"/>
      <c r="S14" s="79"/>
    </row>
    <row r="15" spans="1:21" ht="12.95" customHeight="1">
      <c r="A15" s="412"/>
      <c r="B15" s="412"/>
      <c r="C15" s="135" t="s">
        <v>5</v>
      </c>
      <c r="D15" s="280">
        <v>116</v>
      </c>
      <c r="E15" s="113">
        <v>100.306</v>
      </c>
      <c r="F15" s="113">
        <v>1066.779</v>
      </c>
      <c r="G15" s="274">
        <f t="shared" ref="G15:G19" si="3">E15/$E$20</f>
        <v>1.6316604500310797E-3</v>
      </c>
      <c r="H15" s="274">
        <f t="shared" ref="H15:H17" si="4">(E15-I15)/I15</f>
        <v>-2.6750628256503352E-2</v>
      </c>
      <c r="I15" s="280">
        <v>103.063</v>
      </c>
      <c r="J15" s="113">
        <v>1092.886</v>
      </c>
      <c r="K15" s="274">
        <f t="shared" ref="K15:K19" si="5">I15/$I$20</f>
        <v>2.5469997407691377E-3</v>
      </c>
      <c r="L15" s="86"/>
      <c r="M15" s="79"/>
      <c r="N15" s="79"/>
      <c r="O15" s="79"/>
      <c r="P15" s="79"/>
      <c r="Q15" s="79"/>
      <c r="R15" s="79"/>
      <c r="S15" s="79"/>
    </row>
    <row r="16" spans="1:21" ht="12.95" customHeight="1">
      <c r="A16" s="412"/>
      <c r="B16" s="412"/>
      <c r="C16" s="135" t="s">
        <v>6</v>
      </c>
      <c r="D16" s="280">
        <v>1220</v>
      </c>
      <c r="E16" s="113">
        <v>177.45999999999998</v>
      </c>
      <c r="F16" s="113">
        <v>1867.5039999999999</v>
      </c>
      <c r="G16" s="274">
        <f t="shared" si="3"/>
        <v>2.8867112980531114E-3</v>
      </c>
      <c r="H16" s="274">
        <f t="shared" si="4"/>
        <v>-3.9541907060823091E-2</v>
      </c>
      <c r="I16" s="280">
        <v>184.76600000000002</v>
      </c>
      <c r="J16" s="113">
        <v>1942.1949999999999</v>
      </c>
      <c r="K16" s="274">
        <f>I16/$I$20</f>
        <v>4.566129009469456E-3</v>
      </c>
      <c r="L16" s="68"/>
      <c r="M16" s="79"/>
      <c r="N16" s="79"/>
      <c r="O16" s="79"/>
      <c r="P16" s="79"/>
      <c r="Q16" s="79"/>
      <c r="R16" s="79"/>
      <c r="S16" s="79"/>
    </row>
    <row r="17" spans="1:20" ht="12.95" customHeight="1">
      <c r="A17" s="412"/>
      <c r="B17" s="412"/>
      <c r="C17" s="135" t="s">
        <v>7</v>
      </c>
      <c r="D17" s="280">
        <v>8045</v>
      </c>
      <c r="E17" s="113">
        <v>0</v>
      </c>
      <c r="F17" s="113">
        <v>0</v>
      </c>
      <c r="G17" s="274">
        <f t="shared" si="3"/>
        <v>0</v>
      </c>
      <c r="H17" s="311" t="e">
        <f t="shared" si="4"/>
        <v>#DIV/0!</v>
      </c>
      <c r="I17" s="280">
        <v>0</v>
      </c>
      <c r="J17" s="113">
        <v>0</v>
      </c>
      <c r="K17" s="274">
        <f>I17/$I$20</f>
        <v>0</v>
      </c>
      <c r="L17" s="68"/>
      <c r="M17" s="79"/>
      <c r="N17" s="79"/>
      <c r="O17" s="79"/>
      <c r="P17" s="79"/>
      <c r="Q17" s="79"/>
      <c r="R17" s="79"/>
      <c r="S17" s="79"/>
    </row>
    <row r="18" spans="1:20" ht="12.95" customHeight="1">
      <c r="A18" s="412"/>
      <c r="B18" s="412"/>
      <c r="C18" s="135" t="s">
        <v>90</v>
      </c>
      <c r="D18" s="280">
        <v>8</v>
      </c>
      <c r="E18" s="113">
        <v>36.123999999999995</v>
      </c>
      <c r="F18" s="113">
        <v>377.88499999999999</v>
      </c>
      <c r="G18" s="274">
        <f t="shared" si="3"/>
        <v>5.8762289491080008E-4</v>
      </c>
      <c r="H18" s="274">
        <f>(E18-I18)/I18</f>
        <v>-0.35913993755322171</v>
      </c>
      <c r="I18" s="280">
        <v>56.367999999999995</v>
      </c>
      <c r="J18" s="113">
        <v>589.10500000000002</v>
      </c>
      <c r="K18" s="274">
        <f>I18/$I$20</f>
        <v>1.3930244742310503E-3</v>
      </c>
      <c r="L18" s="68"/>
      <c r="M18" s="79"/>
      <c r="N18" s="79"/>
      <c r="O18" s="79"/>
      <c r="P18" s="79"/>
      <c r="Q18" s="79"/>
      <c r="R18" s="79"/>
      <c r="S18" s="79"/>
    </row>
    <row r="19" spans="1:20" ht="12.95" customHeight="1">
      <c r="A19" s="412"/>
      <c r="B19" s="412"/>
      <c r="C19" s="135" t="s">
        <v>93</v>
      </c>
      <c r="D19" s="280">
        <v>0</v>
      </c>
      <c r="E19" s="113">
        <v>425.94210199999804</v>
      </c>
      <c r="F19" s="113">
        <v>4716.1018759999897</v>
      </c>
      <c r="G19" s="274">
        <f t="shared" si="3"/>
        <v>6.928726914008144E-3</v>
      </c>
      <c r="H19" s="274">
        <f t="shared" ref="H19" si="6">(E19-I19)/I19</f>
        <v>0.21254257713188796</v>
      </c>
      <c r="I19" s="280">
        <v>351.28011999999933</v>
      </c>
      <c r="J19" s="113">
        <v>3846.6989990000093</v>
      </c>
      <c r="K19" s="274">
        <f t="shared" si="5"/>
        <v>8.6811986316849884E-3</v>
      </c>
      <c r="L19" s="68"/>
      <c r="M19" s="79"/>
      <c r="N19" s="79"/>
      <c r="O19" s="79"/>
      <c r="P19" s="79"/>
      <c r="Q19" s="79"/>
      <c r="R19" s="79"/>
      <c r="S19" s="79"/>
    </row>
    <row r="20" spans="1:20" ht="12.95" customHeight="1">
      <c r="A20" s="417"/>
      <c r="B20" s="417"/>
      <c r="C20" s="285" t="s">
        <v>0</v>
      </c>
      <c r="D20" s="288">
        <v>9486</v>
      </c>
      <c r="E20" s="286">
        <v>61474.800102000008</v>
      </c>
      <c r="F20" s="286">
        <v>673513.9042059998</v>
      </c>
      <c r="G20" s="287">
        <f>SUM(G14:G19)</f>
        <v>0.99999999999999989</v>
      </c>
      <c r="H20" s="287">
        <f>(E20-I20)/I20</f>
        <v>0.5192290145214925</v>
      </c>
      <c r="I20" s="288">
        <v>40464.472119999999</v>
      </c>
      <c r="J20" s="286">
        <v>441570.57712800003</v>
      </c>
      <c r="K20" s="287">
        <f>SUM(K14:K19)</f>
        <v>1</v>
      </c>
      <c r="L20" s="68"/>
      <c r="M20" s="79"/>
      <c r="N20" s="79"/>
      <c r="O20" s="79"/>
      <c r="P20" s="79"/>
      <c r="Q20" s="79"/>
      <c r="R20" s="79"/>
      <c r="S20" s="79"/>
    </row>
    <row r="21" spans="1:20" ht="12.95" customHeight="1">
      <c r="A21" s="418" t="str">
        <f>'3.1'!F5</f>
        <v>Březen</v>
      </c>
      <c r="B21" s="418"/>
      <c r="C21" s="145" t="s">
        <v>4</v>
      </c>
      <c r="D21" s="279">
        <v>99</v>
      </c>
      <c r="E21" s="275">
        <v>30438.664000000001</v>
      </c>
      <c r="F21" s="275">
        <v>334737.48066600005</v>
      </c>
      <c r="G21" s="276">
        <f>E21/$E$27</f>
        <v>0.98290065356262291</v>
      </c>
      <c r="H21" s="276">
        <f>(E21-I21)/I21</f>
        <v>-0.18401134627872331</v>
      </c>
      <c r="I21" s="279">
        <v>37302.803</v>
      </c>
      <c r="J21" s="275">
        <v>408457.76886800001</v>
      </c>
      <c r="K21" s="276">
        <f>I21/$I$27</f>
        <v>0.98576696433999178</v>
      </c>
      <c r="L21" s="78"/>
      <c r="M21" s="79"/>
      <c r="N21" s="79"/>
      <c r="O21" s="79"/>
      <c r="P21" s="79"/>
      <c r="Q21" s="79"/>
      <c r="R21" s="79"/>
      <c r="S21" s="79"/>
      <c r="T21" s="78"/>
    </row>
    <row r="22" spans="1:20" ht="12.95" customHeight="1">
      <c r="A22" s="412"/>
      <c r="B22" s="412"/>
      <c r="C22" s="135" t="s">
        <v>5</v>
      </c>
      <c r="D22" s="280">
        <v>123</v>
      </c>
      <c r="E22" s="113">
        <v>65.867999999999995</v>
      </c>
      <c r="F22" s="113">
        <v>697.15700000000004</v>
      </c>
      <c r="G22" s="274">
        <f t="shared" ref="G22:G26" si="7">E22/$E$27</f>
        <v>2.1269560401488987E-3</v>
      </c>
      <c r="H22" s="274">
        <f t="shared" ref="H22:H26" si="8">(E22-I22)/I22</f>
        <v>6.2174424466475689E-3</v>
      </c>
      <c r="I22" s="280">
        <v>65.460999999999999</v>
      </c>
      <c r="J22" s="113">
        <v>692.33600000000001</v>
      </c>
      <c r="K22" s="274">
        <f t="shared" ref="K22:K26" si="9">I22/$I$27</f>
        <v>1.7298778124705588E-3</v>
      </c>
      <c r="L22" s="78"/>
      <c r="M22" s="79"/>
      <c r="N22" s="79"/>
      <c r="O22" s="79"/>
      <c r="P22" s="79"/>
      <c r="Q22" s="79"/>
      <c r="R22" s="79"/>
      <c r="S22" s="79"/>
      <c r="T22" s="78"/>
    </row>
    <row r="23" spans="1:20" ht="12.95" customHeight="1">
      <c r="A23" s="412"/>
      <c r="B23" s="412"/>
      <c r="C23" s="135" t="s">
        <v>6</v>
      </c>
      <c r="D23" s="280">
        <v>1211</v>
      </c>
      <c r="E23" s="113">
        <v>152.00199999999998</v>
      </c>
      <c r="F23" s="113">
        <v>1597.96</v>
      </c>
      <c r="G23" s="274">
        <f t="shared" si="7"/>
        <v>4.9083253175246384E-3</v>
      </c>
      <c r="H23" s="274">
        <f t="shared" si="8"/>
        <v>-7.1034377387318673E-2</v>
      </c>
      <c r="I23" s="280">
        <v>163.625</v>
      </c>
      <c r="J23" s="113">
        <v>1719.5299999999997</v>
      </c>
      <c r="K23" s="274">
        <f t="shared" si="9"/>
        <v>4.323967813896751E-3</v>
      </c>
      <c r="L23" s="78"/>
      <c r="M23" s="79"/>
      <c r="N23" s="79"/>
      <c r="O23" s="79"/>
      <c r="P23" s="79"/>
      <c r="Q23" s="79"/>
      <c r="R23" s="79"/>
      <c r="S23" s="79"/>
      <c r="T23" s="78"/>
    </row>
    <row r="24" spans="1:20" ht="12.95" customHeight="1">
      <c r="A24" s="412"/>
      <c r="B24" s="412"/>
      <c r="C24" s="135" t="s">
        <v>7</v>
      </c>
      <c r="D24" s="280">
        <v>8045</v>
      </c>
      <c r="E24" s="113">
        <v>1.028</v>
      </c>
      <c r="F24" s="113">
        <v>11.151</v>
      </c>
      <c r="G24" s="274">
        <f t="shared" si="7"/>
        <v>3.3195342340333215E-5</v>
      </c>
      <c r="H24" s="311">
        <f t="shared" si="8"/>
        <v>-0.38700059630292188</v>
      </c>
      <c r="I24" s="280">
        <v>1.677</v>
      </c>
      <c r="J24" s="113">
        <v>18.084</v>
      </c>
      <c r="K24" s="274">
        <f t="shared" si="9"/>
        <v>4.4316541016989157E-5</v>
      </c>
      <c r="L24" s="78"/>
      <c r="M24" s="79"/>
      <c r="N24" s="79"/>
      <c r="O24" s="79"/>
      <c r="P24" s="79"/>
      <c r="Q24" s="79"/>
      <c r="R24" s="79"/>
      <c r="S24" s="79"/>
      <c r="T24" s="78"/>
    </row>
    <row r="25" spans="1:20" ht="12.95" customHeight="1">
      <c r="A25" s="412"/>
      <c r="B25" s="412"/>
      <c r="C25" s="135" t="s">
        <v>90</v>
      </c>
      <c r="D25" s="280">
        <v>8</v>
      </c>
      <c r="E25" s="113">
        <v>42.759</v>
      </c>
      <c r="F25" s="113">
        <v>446.99199999999996</v>
      </c>
      <c r="G25" s="274">
        <f t="shared" si="7"/>
        <v>1.3807389524613891E-3</v>
      </c>
      <c r="H25" s="274">
        <f>(E25-I25)/I25</f>
        <v>-0.26291565392770339</v>
      </c>
      <c r="I25" s="280">
        <v>58.011000000000003</v>
      </c>
      <c r="J25" s="113">
        <v>605.97800000000007</v>
      </c>
      <c r="K25" s="274">
        <f t="shared" si="9"/>
        <v>1.5330034948935947E-3</v>
      </c>
      <c r="L25" s="78"/>
      <c r="M25" s="79"/>
      <c r="N25" s="79"/>
      <c r="O25" s="79"/>
      <c r="P25" s="79"/>
      <c r="Q25" s="79"/>
      <c r="R25" s="79"/>
      <c r="S25" s="79"/>
      <c r="T25" s="78"/>
    </row>
    <row r="26" spans="1:20" ht="12.95" customHeight="1">
      <c r="A26" s="412"/>
      <c r="B26" s="412"/>
      <c r="C26" s="135" t="s">
        <v>93</v>
      </c>
      <c r="D26" s="280">
        <v>0</v>
      </c>
      <c r="E26" s="113">
        <v>267.87897999999893</v>
      </c>
      <c r="F26" s="113">
        <v>2956.037043000018</v>
      </c>
      <c r="G26" s="274">
        <f t="shared" si="7"/>
        <v>8.6501307849019826E-3</v>
      </c>
      <c r="H26" s="274">
        <f t="shared" si="8"/>
        <v>7.2270755721205476E-2</v>
      </c>
      <c r="I26" s="280">
        <v>249.82400999999714</v>
      </c>
      <c r="J26" s="113">
        <v>2770.7220660000025</v>
      </c>
      <c r="K26" s="274">
        <f t="shared" si="9"/>
        <v>6.601869997730222E-3</v>
      </c>
      <c r="L26" s="78"/>
      <c r="M26" s="79"/>
      <c r="N26" s="79"/>
      <c r="O26" s="79"/>
      <c r="P26" s="79"/>
      <c r="Q26" s="79"/>
      <c r="R26" s="79"/>
      <c r="S26" s="79"/>
      <c r="T26" s="78"/>
    </row>
    <row r="27" spans="1:20" ht="12.95" customHeight="1">
      <c r="A27" s="417"/>
      <c r="B27" s="417"/>
      <c r="C27" s="285" t="s">
        <v>0</v>
      </c>
      <c r="D27" s="288">
        <v>9486</v>
      </c>
      <c r="E27" s="286">
        <v>30968.199979999994</v>
      </c>
      <c r="F27" s="286">
        <v>340446.7777090001</v>
      </c>
      <c r="G27" s="287">
        <f>SUM(G21:G26)</f>
        <v>1.0000000000000002</v>
      </c>
      <c r="H27" s="287">
        <f>(E27-I27)/I27</f>
        <v>-0.18163178018128054</v>
      </c>
      <c r="I27" s="288">
        <v>37841.401010000001</v>
      </c>
      <c r="J27" s="286">
        <v>414264.41893400002</v>
      </c>
      <c r="K27" s="287">
        <f>SUM(K21:K26)</f>
        <v>1</v>
      </c>
      <c r="M27" s="79"/>
      <c r="N27" s="79"/>
      <c r="O27" s="79"/>
      <c r="P27" s="79"/>
      <c r="Q27" s="79"/>
      <c r="R27" s="79"/>
      <c r="S27" s="79"/>
    </row>
    <row r="28" spans="1:20" ht="12.95" customHeight="1">
      <c r="A28" s="476" t="str">
        <f>'3.1'!G5</f>
        <v>I. čtvrtletí</v>
      </c>
      <c r="B28" s="418"/>
      <c r="C28" s="145" t="s">
        <v>4</v>
      </c>
      <c r="D28" s="279">
        <f>D21</f>
        <v>99</v>
      </c>
      <c r="E28" s="275">
        <f>E7+E14+E21</f>
        <v>180489.44900000002</v>
      </c>
      <c r="F28" s="275">
        <f>F7+F14+F21</f>
        <v>1980393.5029579997</v>
      </c>
      <c r="G28" s="276">
        <f>E28/$E$34</f>
        <v>0.98799547510170127</v>
      </c>
      <c r="H28" s="276">
        <f>(E28-I28)/I28</f>
        <v>0.52662482765258967</v>
      </c>
      <c r="I28" s="279">
        <f>I7+I14+I21</f>
        <v>118227.77</v>
      </c>
      <c r="J28" s="275">
        <f>J7+J14+J21</f>
        <v>1291016.7897960001</v>
      </c>
      <c r="K28" s="276">
        <f>I28/$I$34</f>
        <v>0.98330447520209674</v>
      </c>
      <c r="M28" s="79"/>
      <c r="N28" s="79"/>
      <c r="O28" s="79"/>
      <c r="P28" s="79"/>
      <c r="Q28" s="79"/>
      <c r="R28" s="79"/>
      <c r="S28" s="79"/>
    </row>
    <row r="29" spans="1:20" ht="12.95" customHeight="1">
      <c r="A29" s="412"/>
      <c r="B29" s="412"/>
      <c r="C29" s="135" t="s">
        <v>5</v>
      </c>
      <c r="D29" s="280">
        <f t="shared" ref="D29:D32" si="10">D22</f>
        <v>123</v>
      </c>
      <c r="E29" s="113">
        <f>E8+E15+E22</f>
        <v>295.46699999999998</v>
      </c>
      <c r="F29" s="113">
        <f t="shared" ref="F29" si="11">F8+F15+F22</f>
        <v>3140.498</v>
      </c>
      <c r="G29" s="274">
        <f t="shared" ref="G29:G33" si="12">E29/$E$34</f>
        <v>1.6173801884778003E-3</v>
      </c>
      <c r="H29" s="274">
        <f t="shared" ref="H29:H31" si="13">(E29-I29)/I29</f>
        <v>6.939347217094835E-2</v>
      </c>
      <c r="I29" s="280">
        <f>I8+I15+I22</f>
        <v>276.29399999999998</v>
      </c>
      <c r="J29" s="113">
        <f t="shared" ref="J29" si="14">J8+J15+J22</f>
        <v>2932.7259999999997</v>
      </c>
      <c r="K29" s="274">
        <f t="shared" ref="K29:K33" si="15">I29/$I$34</f>
        <v>2.2979468078564631E-3</v>
      </c>
      <c r="M29" s="79"/>
      <c r="N29" s="79"/>
      <c r="O29" s="79"/>
      <c r="P29" s="79"/>
      <c r="Q29" s="79"/>
      <c r="R29" s="79"/>
      <c r="S29" s="79"/>
    </row>
    <row r="30" spans="1:20" ht="12.95" customHeight="1">
      <c r="A30" s="412"/>
      <c r="B30" s="412"/>
      <c r="C30" s="135" t="s">
        <v>6</v>
      </c>
      <c r="D30" s="280">
        <f t="shared" si="10"/>
        <v>1211</v>
      </c>
      <c r="E30" s="113">
        <f t="shared" ref="E30:F33" si="16">E9+E16+E23</f>
        <v>533.14</v>
      </c>
      <c r="F30" s="113">
        <f t="shared" si="16"/>
        <v>5609.6010000000006</v>
      </c>
      <c r="G30" s="274">
        <f t="shared" si="12"/>
        <v>2.9183972277278154E-3</v>
      </c>
      <c r="H30" s="274">
        <f t="shared" si="13"/>
        <v>-3.6952873660803791E-2</v>
      </c>
      <c r="I30" s="280">
        <f t="shared" ref="I30:J32" si="17">I9+I16+I23</f>
        <v>553.59699999999998</v>
      </c>
      <c r="J30" s="113">
        <f t="shared" si="17"/>
        <v>5819.848</v>
      </c>
      <c r="K30" s="274">
        <f t="shared" si="15"/>
        <v>4.6042855038072282E-3</v>
      </c>
      <c r="M30" s="79"/>
      <c r="N30" s="79"/>
      <c r="O30" s="79"/>
      <c r="P30" s="79"/>
      <c r="Q30" s="79"/>
      <c r="R30" s="79"/>
      <c r="S30" s="79"/>
    </row>
    <row r="31" spans="1:20" ht="12.95" customHeight="1">
      <c r="A31" s="412"/>
      <c r="B31" s="412"/>
      <c r="C31" s="135" t="s">
        <v>7</v>
      </c>
      <c r="D31" s="280">
        <f t="shared" si="10"/>
        <v>8045</v>
      </c>
      <c r="E31" s="113">
        <f>E10+E17+E24</f>
        <v>1.028</v>
      </c>
      <c r="F31" s="113">
        <f t="shared" si="16"/>
        <v>11.151</v>
      </c>
      <c r="G31" s="274">
        <f t="shared" si="12"/>
        <v>5.6272505347642167E-6</v>
      </c>
      <c r="H31" s="311">
        <f t="shared" si="13"/>
        <v>-0.38700059630292188</v>
      </c>
      <c r="I31" s="280">
        <f>I10+I17+I24</f>
        <v>1.677</v>
      </c>
      <c r="J31" s="113">
        <f t="shared" si="17"/>
        <v>18.084</v>
      </c>
      <c r="K31" s="274">
        <f t="shared" si="15"/>
        <v>1.3947667328191306E-5</v>
      </c>
      <c r="M31" s="79"/>
      <c r="N31" s="79"/>
      <c r="O31" s="79"/>
      <c r="P31" s="79"/>
      <c r="Q31" s="79"/>
      <c r="R31" s="79"/>
      <c r="S31" s="79"/>
    </row>
    <row r="32" spans="1:20" ht="12.95" customHeight="1">
      <c r="A32" s="412"/>
      <c r="B32" s="412"/>
      <c r="C32" s="135" t="s">
        <v>90</v>
      </c>
      <c r="D32" s="280">
        <f t="shared" si="10"/>
        <v>8</v>
      </c>
      <c r="E32" s="113">
        <f>E11+E18+E25</f>
        <v>116.04299999999999</v>
      </c>
      <c r="F32" s="113">
        <f t="shared" si="16"/>
        <v>1213.211</v>
      </c>
      <c r="G32" s="274">
        <f t="shared" si="12"/>
        <v>6.3521695895490656E-4</v>
      </c>
      <c r="H32" s="274">
        <f>(E32-I32)/I32</f>
        <v>-0.33178818624684742</v>
      </c>
      <c r="I32" s="280">
        <f>I11+I18+I25</f>
        <v>173.66200000000001</v>
      </c>
      <c r="J32" s="113">
        <f t="shared" si="17"/>
        <v>1815.2950000000001</v>
      </c>
      <c r="K32" s="274">
        <f t="shared" si="15"/>
        <v>1.4443528941850679E-3</v>
      </c>
      <c r="M32" s="79"/>
      <c r="N32" s="79"/>
      <c r="O32" s="79"/>
      <c r="P32" s="79"/>
      <c r="Q32" s="79"/>
      <c r="R32" s="79"/>
      <c r="S32" s="79"/>
    </row>
    <row r="33" spans="1:20" ht="12.95" customHeight="1">
      <c r="A33" s="412"/>
      <c r="B33" s="412"/>
      <c r="C33" s="135" t="s">
        <v>93</v>
      </c>
      <c r="D33" s="280"/>
      <c r="E33" s="113">
        <f t="shared" si="16"/>
        <v>1247.3382019999972</v>
      </c>
      <c r="F33" s="113">
        <f t="shared" si="16"/>
        <v>13770.321963000009</v>
      </c>
      <c r="G33" s="274">
        <f t="shared" si="12"/>
        <v>6.8279032726034248E-3</v>
      </c>
      <c r="H33" s="274">
        <f t="shared" ref="H33" si="18">(E33-I33)/I33</f>
        <v>0.2446509011323855</v>
      </c>
      <c r="I33" s="280">
        <f t="shared" ref="I33:J33" si="19">I12+I19+I26</f>
        <v>1002.1590799999958</v>
      </c>
      <c r="J33" s="113">
        <f t="shared" si="19"/>
        <v>11035.147413000028</v>
      </c>
      <c r="K33" s="274">
        <f t="shared" si="15"/>
        <v>8.3349919247264152E-3</v>
      </c>
      <c r="M33" s="79"/>
      <c r="N33" s="79"/>
      <c r="O33" s="79"/>
      <c r="P33" s="79"/>
      <c r="Q33" s="79"/>
      <c r="R33" s="79"/>
      <c r="S33" s="79"/>
    </row>
    <row r="34" spans="1:20" ht="12.95" customHeight="1">
      <c r="A34" s="417"/>
      <c r="B34" s="417"/>
      <c r="C34" s="285" t="s">
        <v>0</v>
      </c>
      <c r="D34" s="288">
        <f>SUM(D28:D33)</f>
        <v>9486</v>
      </c>
      <c r="E34" s="286">
        <f>SUM(E28:E33)</f>
        <v>182682.46520200002</v>
      </c>
      <c r="F34" s="286">
        <f>SUM(F28:F33)</f>
        <v>2004138.2859209997</v>
      </c>
      <c r="G34" s="287">
        <f>SUM(G28:G33)</f>
        <v>0.99999999999999989</v>
      </c>
      <c r="H34" s="287">
        <f>(E34-I34)/I34</f>
        <v>0.5193764170133458</v>
      </c>
      <c r="I34" s="288">
        <f>SUM(I28:I33)</f>
        <v>120235.15907999998</v>
      </c>
      <c r="J34" s="286">
        <f>SUM(J28:J33)</f>
        <v>1312637.8902090001</v>
      </c>
      <c r="K34" s="287">
        <f>SUM(K28:K33)</f>
        <v>1</v>
      </c>
      <c r="M34" s="79"/>
      <c r="N34" s="79"/>
      <c r="O34" s="79"/>
      <c r="P34" s="79"/>
      <c r="Q34" s="79"/>
      <c r="R34" s="79"/>
      <c r="S34" s="79"/>
    </row>
    <row r="35" spans="1:20" ht="12.95" customHeight="1">
      <c r="A35" s="110"/>
      <c r="B35" s="270"/>
      <c r="C35" s="90"/>
      <c r="D35" s="78"/>
      <c r="E35" s="78"/>
      <c r="F35" s="78"/>
      <c r="G35" s="473" t="s">
        <v>258</v>
      </c>
      <c r="H35" s="473"/>
      <c r="I35" s="473"/>
      <c r="J35" s="473"/>
      <c r="K35" s="473"/>
    </row>
    <row r="36" spans="1:20" ht="15" customHeight="1">
      <c r="A36" s="465" t="s">
        <v>257</v>
      </c>
      <c r="B36" s="465"/>
      <c r="C36" s="465"/>
      <c r="D36" s="465"/>
      <c r="E36" s="465"/>
      <c r="F36" s="104"/>
      <c r="G36" s="473"/>
      <c r="H36" s="473"/>
      <c r="I36" s="473"/>
      <c r="J36" s="473"/>
      <c r="K36" s="473"/>
      <c r="M36" s="68"/>
      <c r="N36" s="68"/>
      <c r="O36" s="68"/>
      <c r="P36" s="68"/>
      <c r="Q36" s="68"/>
      <c r="R36" s="68"/>
      <c r="S36" s="68"/>
    </row>
    <row r="37" spans="1:20" ht="15" customHeight="1">
      <c r="A37" s="466" t="str">
        <f>A28</f>
        <v>I. čtvrtletí</v>
      </c>
      <c r="B37" s="466"/>
      <c r="C37" s="466"/>
      <c r="D37" s="466"/>
      <c r="E37" s="466"/>
      <c r="F37" s="109"/>
      <c r="G37" s="468" t="str">
        <f>A28</f>
        <v>I. čtvrtletí</v>
      </c>
      <c r="H37" s="468"/>
      <c r="I37" s="468"/>
      <c r="J37" s="468"/>
      <c r="K37" s="468"/>
      <c r="M37" s="68"/>
      <c r="N37" s="68"/>
      <c r="O37" s="68"/>
      <c r="P37" s="68"/>
      <c r="Q37" s="68"/>
      <c r="R37" s="68"/>
      <c r="S37" s="68"/>
    </row>
    <row r="38" spans="1:20" ht="15" customHeight="1">
      <c r="A38" s="83"/>
      <c r="B38" s="83"/>
      <c r="C38" s="83"/>
      <c r="G38" s="83"/>
      <c r="H38" s="83"/>
      <c r="I38" s="83"/>
      <c r="J38" s="83"/>
      <c r="K38" s="83"/>
      <c r="M38" s="68"/>
      <c r="N38" s="68"/>
      <c r="O38" s="68"/>
      <c r="P38" s="68"/>
      <c r="Q38" s="68"/>
      <c r="R38" s="68"/>
      <c r="S38" s="68"/>
      <c r="T38" s="68"/>
    </row>
    <row r="39" spans="1:20" ht="15" customHeight="1">
      <c r="A39" s="83"/>
      <c r="B39" s="83"/>
      <c r="C39" s="83"/>
      <c r="G39" s="83"/>
      <c r="H39" s="83"/>
      <c r="I39" s="83"/>
      <c r="J39" s="83"/>
      <c r="K39" s="83"/>
    </row>
    <row r="40" spans="1:20" ht="15" customHeight="1">
      <c r="A40" s="83"/>
      <c r="B40" s="83"/>
      <c r="C40" s="83"/>
      <c r="G40" s="83"/>
      <c r="H40" s="83"/>
      <c r="I40" s="83"/>
      <c r="J40" s="83"/>
      <c r="K40" s="83"/>
    </row>
    <row r="41" spans="1:20" ht="15" customHeight="1">
      <c r="A41" s="83"/>
      <c r="B41" s="83"/>
      <c r="C41" s="83">
        <f>D3</f>
        <v>2026</v>
      </c>
      <c r="D41" s="83">
        <f>I3</f>
        <v>2025</v>
      </c>
      <c r="H41" s="83"/>
      <c r="I41" s="83">
        <f>D3</f>
        <v>2026</v>
      </c>
      <c r="J41" s="83">
        <f>I3</f>
        <v>2025</v>
      </c>
      <c r="K41" s="83"/>
    </row>
    <row r="42" spans="1:20" ht="15" customHeight="1">
      <c r="A42" s="83"/>
      <c r="B42" s="83" t="str">
        <f>A7</f>
        <v>Leden</v>
      </c>
      <c r="C42" s="69">
        <f>E13</f>
        <v>90239.465120000037</v>
      </c>
      <c r="D42" s="69">
        <f>I13</f>
        <v>41929.285950000005</v>
      </c>
      <c r="H42" s="83" t="str">
        <f>A7</f>
        <v>Leden</v>
      </c>
      <c r="I42" s="84">
        <f>E13/E34</f>
        <v>0.4939689478145497</v>
      </c>
      <c r="J42" s="84">
        <f>I13/I34</f>
        <v>0.34872732960000347</v>
      </c>
      <c r="K42" s="83"/>
    </row>
    <row r="43" spans="1:20" ht="15" customHeight="1">
      <c r="A43" s="83"/>
      <c r="B43" s="83" t="str">
        <f>A14</f>
        <v>Únor</v>
      </c>
      <c r="C43" s="69">
        <f>E20</f>
        <v>61474.800102000008</v>
      </c>
      <c r="D43" s="69">
        <f>I20</f>
        <v>40464.472119999999</v>
      </c>
      <c r="H43" s="83" t="str">
        <f>A14</f>
        <v>Únor</v>
      </c>
      <c r="I43" s="84">
        <f>E20/E34</f>
        <v>0.33651177212889383</v>
      </c>
      <c r="J43" s="84">
        <f>I20/I34</f>
        <v>0.33654442202780677</v>
      </c>
      <c r="K43" s="83"/>
    </row>
    <row r="44" spans="1:20" ht="15" customHeight="1">
      <c r="A44" s="83"/>
      <c r="B44" s="83" t="str">
        <f>A21</f>
        <v>Březen</v>
      </c>
      <c r="C44" s="69">
        <f>E27</f>
        <v>30968.199979999994</v>
      </c>
      <c r="D44" s="69">
        <f>I27</f>
        <v>37841.401010000001</v>
      </c>
      <c r="H44" s="83" t="str">
        <f>A21</f>
        <v>Březen</v>
      </c>
      <c r="I44" s="84">
        <f>E27/E34</f>
        <v>0.16951928005655659</v>
      </c>
      <c r="J44" s="84">
        <f>I27/I34</f>
        <v>0.31472824837218993</v>
      </c>
      <c r="K44" s="83"/>
    </row>
    <row r="45" spans="1:20" ht="15" customHeight="1">
      <c r="A45" s="83"/>
      <c r="B45" s="83"/>
      <c r="C45" s="69">
        <f>SUM(C42:C44)</f>
        <v>182682.46520200005</v>
      </c>
      <c r="D45" s="69">
        <f>SUM(D42:D44)</f>
        <v>120235.15908000001</v>
      </c>
      <c r="E45" s="83"/>
      <c r="F45" s="83"/>
      <c r="G45" s="83"/>
      <c r="H45" s="83"/>
      <c r="I45" s="85">
        <f>SUM(I42:I44)</f>
        <v>1</v>
      </c>
      <c r="J45" s="85">
        <f>SUM(J42:J44)</f>
        <v>1</v>
      </c>
      <c r="K45" s="83"/>
    </row>
    <row r="46" spans="1:20" ht="1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20" ht="1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</row>
    <row r="48" spans="1:20" ht="1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</row>
    <row r="50" spans="1:11" ht="1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</row>
    <row r="51" spans="1:11" ht="1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1:11" ht="15" customHeight="1">
      <c r="A52" s="479" t="s">
        <v>197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</row>
    <row r="53" spans="1:11" ht="15" customHeight="1">
      <c r="A53" s="479"/>
      <c r="B53" s="479"/>
      <c r="C53" s="479"/>
      <c r="D53" s="479"/>
      <c r="E53" s="479"/>
      <c r="F53" s="479"/>
      <c r="G53" s="479"/>
      <c r="H53" s="479"/>
      <c r="I53" s="479"/>
      <c r="J53" s="479"/>
      <c r="K53" s="479"/>
    </row>
    <row r="54" spans="1:11" ht="15" customHeight="1">
      <c r="A54" s="479"/>
      <c r="B54" s="479"/>
      <c r="C54" s="479"/>
      <c r="D54" s="479"/>
      <c r="E54" s="479"/>
      <c r="F54" s="479"/>
      <c r="G54" s="479"/>
      <c r="H54" s="479"/>
      <c r="I54" s="479"/>
      <c r="J54" s="479"/>
      <c r="K54" s="479"/>
    </row>
    <row r="55" spans="1:11" ht="1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1" ht="1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</row>
    <row r="57" spans="1:11" ht="1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</row>
    <row r="58" spans="1:11" ht="1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</row>
    <row r="59" spans="1:11" ht="1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</row>
    <row r="60" spans="1:11" ht="1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</row>
    <row r="61" spans="1:11" ht="1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</row>
    <row r="62" spans="1:11" ht="1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/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22">
    <mergeCell ref="A52:K54"/>
    <mergeCell ref="A7:B13"/>
    <mergeCell ref="A14:B20"/>
    <mergeCell ref="A21:B27"/>
    <mergeCell ref="A28:B34"/>
    <mergeCell ref="A36:E36"/>
    <mergeCell ref="G35:K36"/>
    <mergeCell ref="E3:G4"/>
    <mergeCell ref="A37:E37"/>
    <mergeCell ref="G37:K37"/>
    <mergeCell ref="A1:K1"/>
    <mergeCell ref="A2:C2"/>
    <mergeCell ref="I3:K4"/>
    <mergeCell ref="A3:C4"/>
    <mergeCell ref="D5:D6"/>
    <mergeCell ref="C5:C6"/>
    <mergeCell ref="A5:B6"/>
    <mergeCell ref="G5:G6"/>
    <mergeCell ref="H5:H6"/>
    <mergeCell ref="K5:K6"/>
    <mergeCell ref="E5:F5"/>
    <mergeCell ref="I5:J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4 H10" evalError="1"/>
    <ignoredError sqref="H34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67" customWidth="1"/>
    <col min="2" max="3" width="8.7109375" style="67" customWidth="1"/>
    <col min="4" max="4" width="9.7109375" style="67" customWidth="1"/>
    <col min="5" max="9" width="6.7109375" style="67" customWidth="1"/>
    <col min="10" max="10" width="7.7109375" style="67" customWidth="1"/>
    <col min="11" max="11" width="8.7109375" style="67" customWidth="1"/>
    <col min="12" max="13" width="9.140625" style="67"/>
    <col min="14" max="14" width="11.140625" style="67" customWidth="1"/>
    <col min="15" max="16384" width="9.140625" style="67"/>
  </cols>
  <sheetData>
    <row r="1" spans="1:11" ht="18">
      <c r="A1" s="485" t="str">
        <f>"5.6 Spotřeba zemního plynu a teplota ovzduší: "&amp;LOWER(A3)</f>
        <v>5.6 Spotřeba zemního plynu a teplota ovzduší: leden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6" customHeight="1">
      <c r="A2" s="489"/>
      <c r="B2" s="489"/>
      <c r="C2" s="267"/>
      <c r="D2" s="268"/>
      <c r="E2" s="269"/>
      <c r="F2" s="269"/>
      <c r="G2" s="269"/>
      <c r="H2" s="269"/>
    </row>
    <row r="3" spans="1:11" ht="18.75" customHeight="1">
      <c r="A3" s="492" t="str">
        <f>'3.1'!D5</f>
        <v>Leden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</row>
    <row r="4" spans="1:11" ht="24.95" customHeight="1">
      <c r="A4" s="112"/>
      <c r="B4" s="230">
        <f>'3.1'!A4</f>
        <v>2026</v>
      </c>
      <c r="C4" s="486" t="s">
        <v>59</v>
      </c>
      <c r="D4" s="487"/>
      <c r="E4" s="487"/>
      <c r="F4" s="488"/>
      <c r="G4" s="486" t="s">
        <v>182</v>
      </c>
      <c r="H4" s="487"/>
      <c r="I4" s="487"/>
      <c r="J4" s="487"/>
      <c r="K4" s="487"/>
    </row>
    <row r="5" spans="1:11" ht="22.5">
      <c r="A5" s="250"/>
      <c r="B5" s="456" t="s">
        <v>181</v>
      </c>
      <c r="C5" s="312"/>
      <c r="D5" s="313"/>
      <c r="E5" s="456" t="s">
        <v>265</v>
      </c>
      <c r="F5" s="490" t="s">
        <v>268</v>
      </c>
      <c r="G5" s="314" t="s">
        <v>61</v>
      </c>
      <c r="H5" s="315" t="s">
        <v>170</v>
      </c>
      <c r="I5" s="315" t="s">
        <v>171</v>
      </c>
      <c r="J5" s="315" t="s">
        <v>266</v>
      </c>
      <c r="K5" s="315" t="s">
        <v>267</v>
      </c>
    </row>
    <row r="6" spans="1:11" ht="24.95" customHeight="1">
      <c r="A6" s="316" t="s">
        <v>269</v>
      </c>
      <c r="B6" s="451"/>
      <c r="C6" s="201" t="s">
        <v>247</v>
      </c>
      <c r="D6" s="199" t="s">
        <v>248</v>
      </c>
      <c r="E6" s="451"/>
      <c r="F6" s="491"/>
      <c r="G6" s="317" t="s">
        <v>218</v>
      </c>
      <c r="H6" s="318" t="s">
        <v>218</v>
      </c>
      <c r="I6" s="318" t="s">
        <v>218</v>
      </c>
      <c r="J6" s="318" t="s">
        <v>218</v>
      </c>
      <c r="K6" s="318" t="s">
        <v>218</v>
      </c>
    </row>
    <row r="7" spans="1:11" ht="15.95" customHeight="1">
      <c r="A7" s="135" t="s">
        <v>303</v>
      </c>
      <c r="B7" s="113">
        <f>'5.2'!D13</f>
        <v>393131</v>
      </c>
      <c r="C7" s="280">
        <f>'5.2'!E13</f>
        <v>142595.45382869602</v>
      </c>
      <c r="D7" s="113">
        <f>'5.2'!F13</f>
        <v>1562865.4512760551</v>
      </c>
      <c r="E7" s="274">
        <f>C7/$C$11</f>
        <v>0.11567694836301222</v>
      </c>
      <c r="F7" s="299">
        <f>'5.2'!H13</f>
        <v>0.17833357200530905</v>
      </c>
      <c r="G7" s="297">
        <v>-1.7322580645161292</v>
      </c>
      <c r="H7" s="291">
        <v>3.5</v>
      </c>
      <c r="I7" s="291">
        <v>-6.4</v>
      </c>
      <c r="J7" s="291">
        <v>0.38709677419354827</v>
      </c>
      <c r="K7" s="291">
        <v>-2.1193548387096772</v>
      </c>
    </row>
    <row r="8" spans="1:11" ht="15.95" customHeight="1">
      <c r="A8" s="135" t="s">
        <v>84</v>
      </c>
      <c r="B8" s="113">
        <f>'5.3'!D13</f>
        <v>2186851</v>
      </c>
      <c r="C8" s="280">
        <f>'5.3'!E13</f>
        <v>952749.04792148503</v>
      </c>
      <c r="D8" s="113">
        <f>'5.3'!F13</f>
        <v>10428303.006040001</v>
      </c>
      <c r="E8" s="274">
        <f t="shared" ref="E8:E10" si="0">C8/$C$11</f>
        <v>0.77289352121788135</v>
      </c>
      <c r="F8" s="299">
        <f>'5.3'!H13</f>
        <v>0.13431260840948281</v>
      </c>
      <c r="G8" s="297">
        <v>-2.7451612903225802</v>
      </c>
      <c r="H8" s="292">
        <v>1.6833333333333333</v>
      </c>
      <c r="I8" s="292">
        <v>-7.75</v>
      </c>
      <c r="J8" s="292">
        <v>-1.1419354838709679</v>
      </c>
      <c r="K8" s="291">
        <v>-1.6032258064516123</v>
      </c>
    </row>
    <row r="9" spans="1:11" ht="15.95" customHeight="1">
      <c r="A9" s="135" t="s">
        <v>309</v>
      </c>
      <c r="B9" s="113">
        <f>'5.4'!D13</f>
        <v>110783</v>
      </c>
      <c r="C9" s="280">
        <f>'5.4'!E13</f>
        <v>47120.179000000004</v>
      </c>
      <c r="D9" s="113">
        <f>'5.4'!F13</f>
        <v>516256.15145299997</v>
      </c>
      <c r="E9" s="274">
        <f t="shared" si="0"/>
        <v>3.8225051126714017E-2</v>
      </c>
      <c r="F9" s="299">
        <f>'5.4'!H13</f>
        <v>0.14246828459614633</v>
      </c>
      <c r="G9" s="297">
        <v>-3.1193548387096768</v>
      </c>
      <c r="H9" s="292">
        <v>2.2000000000000002</v>
      </c>
      <c r="I9" s="292">
        <v>-8.9</v>
      </c>
      <c r="J9" s="292">
        <v>-1.3516129032258064</v>
      </c>
      <c r="K9" s="291">
        <v>-1.7677419354838704</v>
      </c>
    </row>
    <row r="10" spans="1:11" ht="15.95" customHeight="1">
      <c r="A10" s="135" t="s">
        <v>31</v>
      </c>
      <c r="B10" s="113">
        <f>'5.5'!D13</f>
        <v>9457</v>
      </c>
      <c r="C10" s="280">
        <f>'5.5'!E13</f>
        <v>90239.465120000037</v>
      </c>
      <c r="D10" s="113">
        <f>'5.5'!F13</f>
        <v>990177.60400599998</v>
      </c>
      <c r="E10" s="274">
        <f t="shared" si="0"/>
        <v>7.3204479292392488E-2</v>
      </c>
      <c r="F10" s="299">
        <f>'5.5'!H13</f>
        <v>1.1521822534161239</v>
      </c>
      <c r="G10" s="297">
        <v>-2.7806451612903227</v>
      </c>
      <c r="H10" s="292">
        <v>1.7</v>
      </c>
      <c r="I10" s="292">
        <v>-7.8</v>
      </c>
      <c r="J10" s="292">
        <v>-1.1741935483870967</v>
      </c>
      <c r="K10" s="291">
        <v>-1.606451612903226</v>
      </c>
    </row>
    <row r="11" spans="1:11" ht="15.95" customHeight="1">
      <c r="A11" s="140" t="s">
        <v>3</v>
      </c>
      <c r="B11" s="277">
        <f>SUM(B7:B10)</f>
        <v>2700222</v>
      </c>
      <c r="C11" s="281">
        <f>SUM(C7:C10)</f>
        <v>1232704.145870181</v>
      </c>
      <c r="D11" s="277">
        <f t="shared" ref="D11:E11" si="1">SUM(D7:D10)</f>
        <v>13497602.212775055</v>
      </c>
      <c r="E11" s="278">
        <f t="shared" si="1"/>
        <v>1</v>
      </c>
      <c r="F11" s="300">
        <f>'5.1'!H14</f>
        <v>0.1806118375471189</v>
      </c>
      <c r="G11" s="298">
        <v>-2.7806451612903227</v>
      </c>
      <c r="H11" s="296">
        <v>1.7</v>
      </c>
      <c r="I11" s="296">
        <v>-7.8</v>
      </c>
      <c r="J11" s="296">
        <v>-1.1741935483870967</v>
      </c>
      <c r="K11" s="295">
        <v>-1.606451612903226</v>
      </c>
    </row>
    <row r="12" spans="1:11" ht="15" customHeight="1">
      <c r="A12" s="90"/>
      <c r="B12" s="83"/>
      <c r="C12" s="480" t="s">
        <v>227</v>
      </c>
      <c r="D12" s="480"/>
      <c r="E12" s="480"/>
      <c r="F12" s="480"/>
      <c r="G12" s="483" t="s">
        <v>228</v>
      </c>
      <c r="H12" s="483"/>
      <c r="I12" s="483"/>
      <c r="J12" s="483"/>
      <c r="K12" s="483"/>
    </row>
    <row r="13" spans="1:11" ht="15" customHeight="1">
      <c r="A13" s="83"/>
      <c r="B13" s="83"/>
      <c r="C13" s="480"/>
      <c r="D13" s="480"/>
      <c r="E13" s="480"/>
      <c r="F13" s="480"/>
      <c r="G13" s="483" t="s">
        <v>229</v>
      </c>
      <c r="H13" s="483"/>
      <c r="I13" s="483"/>
      <c r="J13" s="483"/>
      <c r="K13" s="483"/>
    </row>
    <row r="14" spans="1:11" ht="15" customHeight="1">
      <c r="A14" s="83"/>
      <c r="B14" s="83"/>
      <c r="C14" s="87"/>
      <c r="D14" s="87"/>
      <c r="E14" s="87"/>
      <c r="F14" s="87"/>
      <c r="G14" s="77"/>
      <c r="H14" s="77"/>
      <c r="I14" s="77"/>
      <c r="J14" s="77"/>
      <c r="K14" s="77"/>
    </row>
    <row r="15" spans="1:11" ht="15" customHeight="1">
      <c r="A15" s="83"/>
      <c r="B15" s="83"/>
      <c r="C15" s="83"/>
      <c r="D15" s="88"/>
      <c r="E15" s="89"/>
      <c r="F15" s="89"/>
      <c r="G15" s="83"/>
      <c r="H15" s="90"/>
      <c r="I15" s="77"/>
      <c r="J15" s="83"/>
      <c r="K15" s="83"/>
    </row>
    <row r="16" spans="1:11" ht="18" customHeight="1">
      <c r="A16" s="484" t="s">
        <v>259</v>
      </c>
      <c r="B16" s="484"/>
      <c r="C16" s="484"/>
      <c r="D16" s="484"/>
      <c r="E16" s="484"/>
      <c r="F16" s="484" t="s">
        <v>260</v>
      </c>
      <c r="G16" s="484"/>
      <c r="H16" s="484"/>
      <c r="I16" s="484"/>
      <c r="J16" s="484"/>
      <c r="K16" s="484"/>
    </row>
    <row r="17" spans="1:11" ht="15" customHeight="1">
      <c r="A17" s="484"/>
      <c r="B17" s="484"/>
      <c r="C17" s="484"/>
      <c r="D17" s="484"/>
      <c r="E17" s="484"/>
      <c r="F17" s="484"/>
      <c r="G17" s="484"/>
      <c r="H17" s="484"/>
      <c r="I17" s="484"/>
      <c r="J17" s="484"/>
      <c r="K17" s="484"/>
    </row>
    <row r="18" spans="1:11" ht="15" customHeight="1">
      <c r="A18" s="108"/>
      <c r="B18" s="481"/>
      <c r="C18" s="481"/>
      <c r="D18" s="108"/>
      <c r="E18" s="108"/>
      <c r="F18" s="108"/>
      <c r="G18" s="108"/>
      <c r="H18" s="481"/>
      <c r="I18" s="481"/>
      <c r="J18" s="108"/>
      <c r="K18" s="108"/>
    </row>
    <row r="19" spans="1:11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ht="1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1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1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15" customHeight="1"/>
    <row r="31" spans="1:11" ht="15" customHeight="1"/>
    <row r="32" spans="1:11" ht="15" customHeight="1"/>
    <row r="33" spans="1:11" ht="15" customHeight="1">
      <c r="A33" s="484" t="s">
        <v>261</v>
      </c>
      <c r="B33" s="467"/>
      <c r="C33" s="467"/>
      <c r="D33" s="467"/>
      <c r="E33" s="467"/>
      <c r="F33" s="484" t="s">
        <v>64</v>
      </c>
      <c r="G33" s="484"/>
      <c r="H33" s="484"/>
      <c r="I33" s="484"/>
      <c r="J33" s="484"/>
      <c r="K33" s="484"/>
    </row>
    <row r="34" spans="1:11" ht="15" customHeight="1">
      <c r="A34" s="467"/>
      <c r="B34" s="467"/>
      <c r="C34" s="467"/>
      <c r="D34" s="467"/>
      <c r="E34" s="467"/>
      <c r="F34" s="484"/>
      <c r="G34" s="484"/>
      <c r="H34" s="484"/>
      <c r="I34" s="484"/>
      <c r="J34" s="484"/>
      <c r="K34" s="484"/>
    </row>
    <row r="35" spans="1:11" ht="15" customHeight="1">
      <c r="A35" s="108"/>
      <c r="B35" s="481"/>
      <c r="C35" s="481"/>
      <c r="D35" s="108"/>
      <c r="E35" s="106"/>
      <c r="F35" s="111"/>
      <c r="G35" s="111"/>
      <c r="H35" s="482"/>
      <c r="I35" s="482"/>
      <c r="J35" s="111"/>
      <c r="K35" s="111"/>
    </row>
    <row r="36" spans="1:11" ht="15" customHeight="1">
      <c r="A36" s="108"/>
      <c r="B36" s="108"/>
      <c r="C36" s="108"/>
      <c r="D36" s="108"/>
      <c r="E36" s="107"/>
      <c r="F36" s="107"/>
      <c r="G36" s="107"/>
      <c r="J36" s="107"/>
      <c r="K36" s="107"/>
    </row>
    <row r="37" spans="1:11" ht="15" customHeight="1"/>
    <row r="38" spans="1:11" ht="15" customHeight="1"/>
    <row r="39" spans="1:11" ht="15" customHeight="1"/>
    <row r="40" spans="1:11" ht="15" customHeight="1"/>
    <row r="41" spans="1:11" ht="15" customHeight="1"/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9">
    <mergeCell ref="A1:K1"/>
    <mergeCell ref="G4:K4"/>
    <mergeCell ref="B5:B6"/>
    <mergeCell ref="C4:F4"/>
    <mergeCell ref="A2:B2"/>
    <mergeCell ref="E5:E6"/>
    <mergeCell ref="F5:F6"/>
    <mergeCell ref="A3:K3"/>
    <mergeCell ref="C12:F13"/>
    <mergeCell ref="B18:C18"/>
    <mergeCell ref="H18:I18"/>
    <mergeCell ref="H35:I35"/>
    <mergeCell ref="B35:C35"/>
    <mergeCell ref="G12:K12"/>
    <mergeCell ref="G13:K13"/>
    <mergeCell ref="F16:K17"/>
    <mergeCell ref="A16:E17"/>
    <mergeCell ref="A33:E34"/>
    <mergeCell ref="F33:K3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67" customWidth="1"/>
    <col min="2" max="3" width="8.7109375" style="67" customWidth="1"/>
    <col min="4" max="4" width="9.7109375" style="67" customWidth="1"/>
    <col min="5" max="9" width="6.7109375" style="67" customWidth="1"/>
    <col min="10" max="10" width="7.7109375" style="67" customWidth="1"/>
    <col min="11" max="11" width="8.7109375" style="67" customWidth="1"/>
    <col min="12" max="13" width="9.140625" style="67"/>
    <col min="14" max="14" width="11.140625" style="67" customWidth="1"/>
    <col min="15" max="16384" width="9.140625" style="67"/>
  </cols>
  <sheetData>
    <row r="1" spans="1:11" ht="18">
      <c r="A1" s="485" t="str">
        <f>"5.7 Spotřeba zemního plynu a teplota ovzduší: "&amp;LOWER(A3)</f>
        <v>5.7 Spotřeba zemního plynu a teplota ovzduší: únor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6" customHeight="1">
      <c r="A2" s="489"/>
      <c r="B2" s="489"/>
      <c r="C2" s="267"/>
      <c r="D2" s="268"/>
      <c r="E2" s="269"/>
      <c r="F2" s="269"/>
      <c r="G2" s="269"/>
      <c r="H2" s="269"/>
    </row>
    <row r="3" spans="1:11" ht="18.75" customHeight="1">
      <c r="A3" s="492" t="str">
        <f>'3.1'!E5</f>
        <v>Únor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</row>
    <row r="4" spans="1:11" ht="24.95" customHeight="1">
      <c r="A4" s="112"/>
      <c r="B4" s="230">
        <f>'3.1'!A4</f>
        <v>2026</v>
      </c>
      <c r="C4" s="486" t="s">
        <v>59</v>
      </c>
      <c r="D4" s="487"/>
      <c r="E4" s="487"/>
      <c r="F4" s="488"/>
      <c r="G4" s="486" t="s">
        <v>182</v>
      </c>
      <c r="H4" s="487"/>
      <c r="I4" s="487"/>
      <c r="J4" s="487"/>
      <c r="K4" s="487"/>
    </row>
    <row r="5" spans="1:11" ht="22.5">
      <c r="A5" s="250"/>
      <c r="B5" s="456" t="s">
        <v>181</v>
      </c>
      <c r="C5" s="312"/>
      <c r="D5" s="313"/>
      <c r="E5" s="456" t="s">
        <v>265</v>
      </c>
      <c r="F5" s="490" t="s">
        <v>268</v>
      </c>
      <c r="G5" s="314" t="s">
        <v>61</v>
      </c>
      <c r="H5" s="315" t="s">
        <v>170</v>
      </c>
      <c r="I5" s="315" t="s">
        <v>171</v>
      </c>
      <c r="J5" s="315" t="s">
        <v>266</v>
      </c>
      <c r="K5" s="315" t="s">
        <v>267</v>
      </c>
    </row>
    <row r="6" spans="1:11" ht="24.95" customHeight="1">
      <c r="A6" s="316" t="s">
        <v>269</v>
      </c>
      <c r="B6" s="451"/>
      <c r="C6" s="201" t="s">
        <v>247</v>
      </c>
      <c r="D6" s="199" t="s">
        <v>248</v>
      </c>
      <c r="E6" s="451"/>
      <c r="F6" s="491"/>
      <c r="G6" s="317" t="s">
        <v>218</v>
      </c>
      <c r="H6" s="318" t="s">
        <v>218</v>
      </c>
      <c r="I6" s="318" t="s">
        <v>218</v>
      </c>
      <c r="J6" s="318" t="s">
        <v>218</v>
      </c>
      <c r="K6" s="318" t="s">
        <v>218</v>
      </c>
    </row>
    <row r="7" spans="1:11" ht="15.95" customHeight="1">
      <c r="A7" s="135" t="s">
        <v>303</v>
      </c>
      <c r="B7" s="113">
        <f>'5.2'!D20</f>
        <v>392712</v>
      </c>
      <c r="C7" s="280">
        <f>'5.2'!E20</f>
        <v>101603.120882182</v>
      </c>
      <c r="D7" s="113">
        <f>'5.2'!F20</f>
        <v>1109550.0925357959</v>
      </c>
      <c r="E7" s="274">
        <f>C7/$C$11</f>
        <v>0.10989546315788606</v>
      </c>
      <c r="F7" s="299">
        <f>'5.2'!H20</f>
        <v>-8.6201442286980262E-2</v>
      </c>
      <c r="G7" s="297">
        <v>2.7964285714285713</v>
      </c>
      <c r="H7" s="291">
        <v>9.1999999999999993</v>
      </c>
      <c r="I7" s="291">
        <v>-3.3</v>
      </c>
      <c r="J7" s="291">
        <v>1.9068965517241379</v>
      </c>
      <c r="K7" s="291">
        <v>0.88953201970443341</v>
      </c>
    </row>
    <row r="8" spans="1:11" ht="15.95" customHeight="1">
      <c r="A8" s="135" t="s">
        <v>84</v>
      </c>
      <c r="B8" s="113">
        <f>'5.3'!D20</f>
        <v>2184822</v>
      </c>
      <c r="C8" s="280">
        <f>'5.3'!E20</f>
        <v>726166.03915621003</v>
      </c>
      <c r="D8" s="113">
        <f>'5.3'!F20</f>
        <v>7920492.7399499994</v>
      </c>
      <c r="E8" s="274">
        <f t="shared" ref="E8:E10" si="0">C8/$C$11</f>
        <v>0.78543210592061807</v>
      </c>
      <c r="F8" s="299">
        <f>'5.3'!H20</f>
        <v>-6.0077313452908065E-2</v>
      </c>
      <c r="G8" s="297">
        <v>1.4101190476190477</v>
      </c>
      <c r="H8" s="292">
        <v>6.9833333333333334</v>
      </c>
      <c r="I8" s="292">
        <v>-4.6333333333333337</v>
      </c>
      <c r="J8" s="292">
        <v>0.28850574712643678</v>
      </c>
      <c r="K8" s="291">
        <v>1.121613300492611</v>
      </c>
    </row>
    <row r="9" spans="1:11" ht="15.95" customHeight="1">
      <c r="A9" s="135" t="s">
        <v>309</v>
      </c>
      <c r="B9" s="113">
        <f>'5.4'!D20</f>
        <v>110697</v>
      </c>
      <c r="C9" s="280">
        <f>'5.4'!E20</f>
        <v>35299.401000999998</v>
      </c>
      <c r="D9" s="113">
        <f>'5.4'!F20</f>
        <v>385460.114978</v>
      </c>
      <c r="E9" s="274">
        <f t="shared" si="0"/>
        <v>3.8180362852231441E-2</v>
      </c>
      <c r="F9" s="299">
        <f>'5.4'!H20</f>
        <v>-6.3801300123583093E-2</v>
      </c>
      <c r="G9" s="297">
        <v>1.7428571428571427</v>
      </c>
      <c r="H9" s="292">
        <v>7.2</v>
      </c>
      <c r="I9" s="292">
        <v>-6</v>
      </c>
      <c r="J9" s="292">
        <v>1.7241379310344765E-2</v>
      </c>
      <c r="K9" s="291">
        <v>1.7256157635467979</v>
      </c>
    </row>
    <row r="10" spans="1:11" ht="15.95" customHeight="1">
      <c r="A10" s="135" t="s">
        <v>31</v>
      </c>
      <c r="B10" s="113">
        <f>'5.5'!D20</f>
        <v>9486</v>
      </c>
      <c r="C10" s="280">
        <f>'5.5'!E20</f>
        <v>61474.800102000008</v>
      </c>
      <c r="D10" s="113">
        <f>'5.5'!F20</f>
        <v>673513.9042059998</v>
      </c>
      <c r="E10" s="274">
        <f t="shared" si="0"/>
        <v>6.6492068069264471E-2</v>
      </c>
      <c r="F10" s="299">
        <f>'5.5'!H20</f>
        <v>0.5192290145214925</v>
      </c>
      <c r="G10" s="297">
        <v>1.4607142857142859</v>
      </c>
      <c r="H10" s="292">
        <v>7</v>
      </c>
      <c r="I10" s="292">
        <v>-4.5999999999999996</v>
      </c>
      <c r="J10" s="292">
        <v>0.26896551724137935</v>
      </c>
      <c r="K10" s="291">
        <v>1.1917487684729065</v>
      </c>
    </row>
    <row r="11" spans="1:11" ht="15.95" customHeight="1">
      <c r="A11" s="140" t="s">
        <v>3</v>
      </c>
      <c r="B11" s="277">
        <f>SUM(B7:B10)</f>
        <v>2697717</v>
      </c>
      <c r="C11" s="281">
        <f t="shared" ref="C11:E11" si="1">SUM(C7:C10)</f>
        <v>924543.36114139203</v>
      </c>
      <c r="D11" s="277">
        <f t="shared" si="1"/>
        <v>10089016.851669796</v>
      </c>
      <c r="E11" s="278">
        <f t="shared" si="1"/>
        <v>1</v>
      </c>
      <c r="F11" s="300">
        <f>'5.1'!H21</f>
        <v>-3.8874038414518718E-2</v>
      </c>
      <c r="G11" s="298">
        <v>1.4607142857142859</v>
      </c>
      <c r="H11" s="296">
        <v>7</v>
      </c>
      <c r="I11" s="296">
        <v>-4.5999999999999996</v>
      </c>
      <c r="J11" s="296">
        <v>0.26896551724137935</v>
      </c>
      <c r="K11" s="295">
        <v>1.1917487684729065</v>
      </c>
    </row>
    <row r="12" spans="1:11" ht="15" customHeight="1">
      <c r="A12" s="90"/>
      <c r="B12" s="83"/>
      <c r="C12" s="480" t="s">
        <v>227</v>
      </c>
      <c r="D12" s="480"/>
      <c r="E12" s="480"/>
      <c r="F12" s="480"/>
      <c r="G12" s="483" t="s">
        <v>228</v>
      </c>
      <c r="H12" s="483"/>
      <c r="I12" s="483"/>
      <c r="J12" s="483"/>
      <c r="K12" s="483"/>
    </row>
    <row r="13" spans="1:11" ht="15" customHeight="1">
      <c r="A13" s="83"/>
      <c r="B13" s="83"/>
      <c r="C13" s="480"/>
      <c r="D13" s="480"/>
      <c r="E13" s="480"/>
      <c r="F13" s="480"/>
      <c r="G13" s="483" t="s">
        <v>229</v>
      </c>
      <c r="H13" s="483"/>
      <c r="I13" s="483"/>
      <c r="J13" s="483"/>
      <c r="K13" s="483"/>
    </row>
    <row r="14" spans="1:11" ht="15" customHeight="1">
      <c r="A14" s="83"/>
      <c r="B14" s="83"/>
      <c r="C14" s="87"/>
      <c r="D14" s="87"/>
      <c r="E14" s="87"/>
      <c r="F14" s="87"/>
      <c r="G14" s="77"/>
      <c r="H14" s="77"/>
      <c r="I14" s="77"/>
      <c r="J14" s="77"/>
      <c r="K14" s="77"/>
    </row>
    <row r="15" spans="1:11" ht="15" customHeight="1">
      <c r="A15" s="83"/>
      <c r="B15" s="83"/>
      <c r="C15" s="83"/>
      <c r="D15" s="88"/>
      <c r="E15" s="89"/>
      <c r="F15" s="89"/>
      <c r="G15" s="83"/>
      <c r="H15" s="90"/>
      <c r="I15" s="77"/>
      <c r="J15" s="83"/>
      <c r="K15" s="83"/>
    </row>
    <row r="16" spans="1:11" ht="18" customHeight="1">
      <c r="A16" s="484" t="s">
        <v>259</v>
      </c>
      <c r="B16" s="484"/>
      <c r="C16" s="484"/>
      <c r="D16" s="484"/>
      <c r="E16" s="484"/>
      <c r="F16" s="484" t="s">
        <v>260</v>
      </c>
      <c r="G16" s="484"/>
      <c r="H16" s="484"/>
      <c r="I16" s="484"/>
      <c r="J16" s="484"/>
      <c r="K16" s="484"/>
    </row>
    <row r="17" spans="1:11" ht="15" customHeight="1">
      <c r="A17" s="484"/>
      <c r="B17" s="484"/>
      <c r="C17" s="484"/>
      <c r="D17" s="484"/>
      <c r="E17" s="484"/>
      <c r="F17" s="484"/>
      <c r="G17" s="484"/>
      <c r="H17" s="484"/>
      <c r="I17" s="484"/>
      <c r="J17" s="484"/>
      <c r="K17" s="484"/>
    </row>
    <row r="18" spans="1:11" ht="15" customHeight="1">
      <c r="A18" s="105"/>
      <c r="B18" s="481"/>
      <c r="C18" s="481"/>
      <c r="D18" s="105"/>
      <c r="E18" s="105"/>
      <c r="F18" s="105"/>
      <c r="G18" s="105"/>
      <c r="H18" s="481"/>
      <c r="I18" s="481"/>
      <c r="J18" s="105"/>
      <c r="K18" s="105"/>
    </row>
    <row r="19" spans="1:11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ht="1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1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1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15" customHeight="1"/>
    <row r="31" spans="1:11" ht="15" customHeight="1"/>
    <row r="32" spans="1:11" ht="15" customHeight="1"/>
    <row r="33" spans="1:11" ht="15" customHeight="1">
      <c r="A33" s="484" t="s">
        <v>261</v>
      </c>
      <c r="B33" s="467"/>
      <c r="C33" s="467"/>
      <c r="D33" s="467"/>
      <c r="E33" s="467"/>
      <c r="F33" s="484" t="s">
        <v>64</v>
      </c>
      <c r="G33" s="484"/>
      <c r="H33" s="484"/>
      <c r="I33" s="484"/>
      <c r="J33" s="484"/>
      <c r="K33" s="484"/>
    </row>
    <row r="34" spans="1:11" ht="15" customHeight="1">
      <c r="A34" s="467"/>
      <c r="B34" s="467"/>
      <c r="C34" s="467"/>
      <c r="D34" s="467"/>
      <c r="E34" s="467"/>
      <c r="F34" s="484"/>
      <c r="G34" s="484"/>
      <c r="H34" s="484"/>
      <c r="I34" s="484"/>
      <c r="J34" s="484"/>
      <c r="K34" s="484"/>
    </row>
    <row r="35" spans="1:11" ht="15" customHeight="1">
      <c r="A35" s="105"/>
      <c r="B35" s="481"/>
      <c r="C35" s="481"/>
      <c r="D35" s="105"/>
      <c r="E35" s="106"/>
      <c r="F35" s="111"/>
      <c r="G35" s="111"/>
      <c r="H35" s="482"/>
      <c r="I35" s="482"/>
      <c r="J35" s="111"/>
      <c r="K35" s="111"/>
    </row>
    <row r="36" spans="1:11" ht="15" customHeight="1">
      <c r="A36" s="105"/>
      <c r="B36" s="105"/>
      <c r="C36" s="105"/>
      <c r="D36" s="105"/>
      <c r="E36" s="107"/>
      <c r="F36" s="107"/>
      <c r="G36" s="107"/>
      <c r="J36" s="107"/>
      <c r="K36" s="107"/>
    </row>
    <row r="37" spans="1:11" ht="15" customHeight="1"/>
    <row r="38" spans="1:11" ht="15" customHeight="1"/>
    <row r="39" spans="1:11" ht="15" customHeight="1"/>
    <row r="40" spans="1:11" ht="15" customHeight="1"/>
    <row r="41" spans="1:11" ht="15" customHeight="1"/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9">
    <mergeCell ref="B35:C35"/>
    <mergeCell ref="H35:I35"/>
    <mergeCell ref="H18:I18"/>
    <mergeCell ref="A33:E34"/>
    <mergeCell ref="F33:K34"/>
    <mergeCell ref="A1:K1"/>
    <mergeCell ref="G4:K4"/>
    <mergeCell ref="B18:C18"/>
    <mergeCell ref="C4:F4"/>
    <mergeCell ref="A2:B2"/>
    <mergeCell ref="B5:B6"/>
    <mergeCell ref="C12:F13"/>
    <mergeCell ref="G12:K12"/>
    <mergeCell ref="G13:K13"/>
    <mergeCell ref="E5:E6"/>
    <mergeCell ref="F5:F6"/>
    <mergeCell ref="A3:K3"/>
    <mergeCell ref="A16:E17"/>
    <mergeCell ref="F16:K1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67" customWidth="1"/>
    <col min="2" max="3" width="8.7109375" style="67" customWidth="1"/>
    <col min="4" max="4" width="9.7109375" style="67" customWidth="1"/>
    <col min="5" max="9" width="6.7109375" style="67" customWidth="1"/>
    <col min="10" max="10" width="7.7109375" style="67" customWidth="1"/>
    <col min="11" max="11" width="8.7109375" style="67" customWidth="1"/>
    <col min="12" max="13" width="9.140625" style="67"/>
    <col min="14" max="14" width="11.140625" style="67" customWidth="1"/>
    <col min="15" max="16384" width="9.140625" style="67"/>
  </cols>
  <sheetData>
    <row r="1" spans="1:11" ht="18">
      <c r="A1" s="485" t="str">
        <f>"5.8 Spotřeba zemního plynu a teplota ovzduší: "&amp;LOWER(A3)</f>
        <v>5.8 Spotřeba zemního plynu a teplota ovzduší: březen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6" customHeight="1">
      <c r="A2" s="489"/>
      <c r="B2" s="489"/>
      <c r="C2" s="267"/>
      <c r="D2" s="268"/>
      <c r="E2" s="269"/>
      <c r="F2" s="269"/>
      <c r="G2" s="269"/>
      <c r="H2" s="269"/>
    </row>
    <row r="3" spans="1:11" ht="18.75" customHeight="1">
      <c r="A3" s="492" t="str">
        <f>'3.1'!F5</f>
        <v>Březen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</row>
    <row r="4" spans="1:11" ht="24.95" customHeight="1">
      <c r="A4" s="112"/>
      <c r="B4" s="230">
        <f>'3.1'!A4</f>
        <v>2026</v>
      </c>
      <c r="C4" s="486" t="s">
        <v>59</v>
      </c>
      <c r="D4" s="487"/>
      <c r="E4" s="487"/>
      <c r="F4" s="488"/>
      <c r="G4" s="486" t="s">
        <v>182</v>
      </c>
      <c r="H4" s="487"/>
      <c r="I4" s="487"/>
      <c r="J4" s="487"/>
      <c r="K4" s="487"/>
    </row>
    <row r="5" spans="1:11" ht="22.5">
      <c r="A5" s="250"/>
      <c r="B5" s="456" t="s">
        <v>181</v>
      </c>
      <c r="C5" s="312"/>
      <c r="D5" s="313"/>
      <c r="E5" s="456" t="s">
        <v>265</v>
      </c>
      <c r="F5" s="490" t="s">
        <v>268</v>
      </c>
      <c r="G5" s="314" t="s">
        <v>61</v>
      </c>
      <c r="H5" s="315" t="s">
        <v>170</v>
      </c>
      <c r="I5" s="315" t="s">
        <v>171</v>
      </c>
      <c r="J5" s="315" t="s">
        <v>266</v>
      </c>
      <c r="K5" s="315" t="s">
        <v>267</v>
      </c>
    </row>
    <row r="6" spans="1:11" ht="24.95" customHeight="1">
      <c r="A6" s="316" t="s">
        <v>269</v>
      </c>
      <c r="B6" s="451"/>
      <c r="C6" s="201" t="s">
        <v>247</v>
      </c>
      <c r="D6" s="199" t="s">
        <v>248</v>
      </c>
      <c r="E6" s="451"/>
      <c r="F6" s="491"/>
      <c r="G6" s="317" t="s">
        <v>218</v>
      </c>
      <c r="H6" s="318" t="s">
        <v>218</v>
      </c>
      <c r="I6" s="318" t="s">
        <v>218</v>
      </c>
      <c r="J6" s="318" t="s">
        <v>218</v>
      </c>
      <c r="K6" s="318" t="s">
        <v>218</v>
      </c>
    </row>
    <row r="7" spans="1:11" ht="15.95" customHeight="1">
      <c r="A7" s="135" t="s">
        <v>303</v>
      </c>
      <c r="B7" s="113">
        <f>'5.2'!D27</f>
        <v>392314</v>
      </c>
      <c r="C7" s="280">
        <f>'5.2'!E27</f>
        <v>80757.576079054998</v>
      </c>
      <c r="D7" s="113">
        <f>'5.2'!F27</f>
        <v>887947.8682500429</v>
      </c>
      <c r="E7" s="274">
        <f>C7/$C$11</f>
        <v>0.11200685003093579</v>
      </c>
      <c r="F7" s="299">
        <f>'5.2'!H27</f>
        <v>-1.7368401972371588E-2</v>
      </c>
      <c r="G7" s="297">
        <v>6.6645161290322568</v>
      </c>
      <c r="H7" s="291">
        <v>10</v>
      </c>
      <c r="I7" s="291">
        <v>1.2</v>
      </c>
      <c r="J7" s="291">
        <v>5.1096774193548393</v>
      </c>
      <c r="K7" s="291">
        <v>1.5548387096774174</v>
      </c>
    </row>
    <row r="8" spans="1:11" ht="15.95" customHeight="1">
      <c r="A8" s="135" t="s">
        <v>84</v>
      </c>
      <c r="B8" s="113">
        <f>'5.3'!D27</f>
        <v>2182822</v>
      </c>
      <c r="C8" s="280">
        <f>'5.3'!E27</f>
        <v>579550.98893798504</v>
      </c>
      <c r="D8" s="113">
        <f>'5.3'!F27</f>
        <v>6360155.04079</v>
      </c>
      <c r="E8" s="274">
        <f t="shared" ref="E8:E10" si="0">C8/$C$11</f>
        <v>0.80380917624016202</v>
      </c>
      <c r="F8" s="299">
        <f>'5.3'!H27</f>
        <v>-3.5685280474897593E-2</v>
      </c>
      <c r="G8" s="297">
        <v>5.3870967741935489</v>
      </c>
      <c r="H8" s="292">
        <v>9.6</v>
      </c>
      <c r="I8" s="292">
        <v>2.3000000000000003</v>
      </c>
      <c r="J8" s="292">
        <v>3.4811827956989254</v>
      </c>
      <c r="K8" s="291">
        <v>1.9059139784946235</v>
      </c>
    </row>
    <row r="9" spans="1:11" ht="15.95" customHeight="1">
      <c r="A9" s="135" t="s">
        <v>309</v>
      </c>
      <c r="B9" s="113">
        <f>'5.4'!D27</f>
        <v>110601</v>
      </c>
      <c r="C9" s="280">
        <f>'5.4'!E27</f>
        <v>29728.924000999999</v>
      </c>
      <c r="D9" s="113">
        <f>'5.4'!F27</f>
        <v>325965.29821600002</v>
      </c>
      <c r="E9" s="274">
        <f t="shared" si="0"/>
        <v>4.1232578958306683E-2</v>
      </c>
      <c r="F9" s="299">
        <f>'5.4'!H27</f>
        <v>-8.0860428587095287E-3</v>
      </c>
      <c r="G9" s="297">
        <v>4.6806451612903235</v>
      </c>
      <c r="H9" s="292">
        <v>8.8000000000000007</v>
      </c>
      <c r="I9" s="292">
        <v>1.8</v>
      </c>
      <c r="J9" s="292">
        <v>3.2548387096774194</v>
      </c>
      <c r="K9" s="291">
        <v>1.4258064516129041</v>
      </c>
    </row>
    <row r="10" spans="1:11" ht="15.95" customHeight="1">
      <c r="A10" s="135" t="s">
        <v>31</v>
      </c>
      <c r="B10" s="113">
        <f>'5.5'!D27</f>
        <v>9486</v>
      </c>
      <c r="C10" s="280">
        <f>'5.5'!E27</f>
        <v>30968.199979999994</v>
      </c>
      <c r="D10" s="113">
        <f>'5.5'!F27</f>
        <v>340446.7777090001</v>
      </c>
      <c r="E10" s="274">
        <f t="shared" si="0"/>
        <v>4.2951394770595459E-2</v>
      </c>
      <c r="F10" s="299">
        <f>'5.5'!H27</f>
        <v>-0.18163178018128054</v>
      </c>
      <c r="G10" s="297">
        <v>5.3870967741935489</v>
      </c>
      <c r="H10" s="292">
        <v>9.6999999999999993</v>
      </c>
      <c r="I10" s="292">
        <v>2.4</v>
      </c>
      <c r="J10" s="292">
        <v>3.4870967741935481</v>
      </c>
      <c r="K10" s="291">
        <v>1.9000000000000008</v>
      </c>
    </row>
    <row r="11" spans="1:11" ht="15.95" customHeight="1">
      <c r="A11" s="140" t="s">
        <v>3</v>
      </c>
      <c r="B11" s="277">
        <f>SUM(B7:B10)</f>
        <v>2695223</v>
      </c>
      <c r="C11" s="281">
        <f t="shared" ref="C11:E11" si="1">SUM(C7:C10)</f>
        <v>721005.68899804004</v>
      </c>
      <c r="D11" s="277">
        <f t="shared" si="1"/>
        <v>7914514.9849650431</v>
      </c>
      <c r="E11" s="278">
        <f t="shared" si="1"/>
        <v>1</v>
      </c>
      <c r="F11" s="300">
        <f>'5.1'!H28</f>
        <v>-3.9933326417876606E-2</v>
      </c>
      <c r="G11" s="298">
        <v>5.3870967741935489</v>
      </c>
      <c r="H11" s="296">
        <v>9.6999999999999993</v>
      </c>
      <c r="I11" s="296">
        <v>2.4</v>
      </c>
      <c r="J11" s="296">
        <v>3.4870967741935481</v>
      </c>
      <c r="K11" s="295">
        <v>1.9000000000000008</v>
      </c>
    </row>
    <row r="12" spans="1:11" ht="15" customHeight="1">
      <c r="A12" s="90"/>
      <c r="B12" s="83"/>
      <c r="C12" s="480" t="s">
        <v>227</v>
      </c>
      <c r="D12" s="480"/>
      <c r="E12" s="480"/>
      <c r="F12" s="480"/>
      <c r="G12" s="483" t="s">
        <v>228</v>
      </c>
      <c r="H12" s="483"/>
      <c r="I12" s="483"/>
      <c r="J12" s="483"/>
      <c r="K12" s="483"/>
    </row>
    <row r="13" spans="1:11" ht="15" customHeight="1">
      <c r="A13" s="83"/>
      <c r="B13" s="83"/>
      <c r="C13" s="480"/>
      <c r="D13" s="480"/>
      <c r="E13" s="480"/>
      <c r="F13" s="480"/>
      <c r="G13" s="483" t="s">
        <v>229</v>
      </c>
      <c r="H13" s="483"/>
      <c r="I13" s="483"/>
      <c r="J13" s="483"/>
      <c r="K13" s="483"/>
    </row>
    <row r="14" spans="1:11" ht="15" customHeight="1">
      <c r="A14" s="83"/>
      <c r="B14" s="83"/>
      <c r="C14" s="87"/>
      <c r="D14" s="87"/>
      <c r="E14" s="87"/>
      <c r="F14" s="87"/>
      <c r="G14" s="77"/>
      <c r="H14" s="77"/>
      <c r="I14" s="77"/>
      <c r="J14" s="77"/>
      <c r="K14" s="77"/>
    </row>
    <row r="15" spans="1:11" ht="15" customHeight="1">
      <c r="A15" s="83"/>
      <c r="B15" s="83"/>
      <c r="C15" s="83"/>
      <c r="D15" s="88"/>
      <c r="E15" s="89"/>
      <c r="F15" s="89"/>
      <c r="G15" s="83"/>
      <c r="H15" s="90"/>
      <c r="I15" s="77"/>
      <c r="J15" s="83"/>
      <c r="K15" s="83"/>
    </row>
    <row r="16" spans="1:11" ht="18" customHeight="1">
      <c r="A16" s="484" t="s">
        <v>259</v>
      </c>
      <c r="B16" s="484"/>
      <c r="C16" s="484"/>
      <c r="D16" s="484"/>
      <c r="E16" s="484"/>
      <c r="F16" s="484" t="s">
        <v>260</v>
      </c>
      <c r="G16" s="484"/>
      <c r="H16" s="484"/>
      <c r="I16" s="484"/>
      <c r="J16" s="484"/>
      <c r="K16" s="484"/>
    </row>
    <row r="17" spans="1:11" ht="15" customHeight="1">
      <c r="A17" s="484"/>
      <c r="B17" s="484"/>
      <c r="C17" s="484"/>
      <c r="D17" s="484"/>
      <c r="E17" s="484"/>
      <c r="F17" s="484"/>
      <c r="G17" s="484"/>
      <c r="H17" s="484"/>
      <c r="I17" s="484"/>
      <c r="J17" s="484"/>
      <c r="K17" s="484"/>
    </row>
    <row r="18" spans="1:11" ht="15" customHeight="1">
      <c r="A18" s="105"/>
      <c r="B18" s="481"/>
      <c r="C18" s="481"/>
      <c r="D18" s="105"/>
      <c r="E18" s="105"/>
      <c r="F18" s="105"/>
      <c r="G18" s="105"/>
      <c r="H18" s="481"/>
      <c r="I18" s="481"/>
      <c r="J18" s="105"/>
      <c r="K18" s="105"/>
    </row>
    <row r="19" spans="1:11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ht="1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1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1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15" customHeight="1"/>
    <row r="31" spans="1:11" ht="15" customHeight="1"/>
    <row r="32" spans="1:11" ht="15" customHeight="1"/>
    <row r="33" spans="1:11" ht="15" customHeight="1">
      <c r="A33" s="484" t="s">
        <v>261</v>
      </c>
      <c r="B33" s="467"/>
      <c r="C33" s="467"/>
      <c r="D33" s="467"/>
      <c r="E33" s="467"/>
      <c r="F33" s="484" t="s">
        <v>64</v>
      </c>
      <c r="G33" s="484"/>
      <c r="H33" s="484"/>
      <c r="I33" s="484"/>
      <c r="J33" s="484"/>
      <c r="K33" s="484"/>
    </row>
    <row r="34" spans="1:11" ht="15" customHeight="1">
      <c r="A34" s="467"/>
      <c r="B34" s="467"/>
      <c r="C34" s="467"/>
      <c r="D34" s="467"/>
      <c r="E34" s="467"/>
      <c r="F34" s="484"/>
      <c r="G34" s="484"/>
      <c r="H34" s="484"/>
      <c r="I34" s="484"/>
      <c r="J34" s="484"/>
      <c r="K34" s="484"/>
    </row>
    <row r="35" spans="1:11" ht="15" customHeight="1">
      <c r="A35" s="105"/>
      <c r="B35" s="481"/>
      <c r="C35" s="481"/>
      <c r="D35" s="105"/>
      <c r="E35" s="106"/>
      <c r="F35" s="111"/>
      <c r="G35" s="111"/>
      <c r="H35" s="482"/>
      <c r="I35" s="482"/>
      <c r="J35" s="111"/>
      <c r="K35" s="111"/>
    </row>
    <row r="36" spans="1:11" ht="15" customHeight="1">
      <c r="A36" s="105"/>
      <c r="B36" s="105"/>
      <c r="C36" s="105"/>
      <c r="D36" s="105"/>
      <c r="E36" s="107"/>
      <c r="F36" s="107"/>
      <c r="G36" s="107"/>
      <c r="J36" s="107"/>
      <c r="K36" s="107"/>
    </row>
    <row r="37" spans="1:11" ht="15" customHeight="1"/>
    <row r="38" spans="1:11" ht="15" customHeight="1"/>
    <row r="39" spans="1:11" ht="15" customHeight="1"/>
    <row r="40" spans="1:11" ht="15" customHeight="1"/>
    <row r="41" spans="1:11" ht="15" customHeight="1"/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9"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  <mergeCell ref="A1:K1"/>
    <mergeCell ref="G4:K4"/>
    <mergeCell ref="A2:B2"/>
    <mergeCell ref="C4:F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20.7109375" style="67" customWidth="1"/>
    <col min="2" max="3" width="8.7109375" style="67" customWidth="1"/>
    <col min="4" max="4" width="9.7109375" style="67" customWidth="1"/>
    <col min="5" max="9" width="6.7109375" style="67" customWidth="1"/>
    <col min="10" max="10" width="7.7109375" style="67" customWidth="1"/>
    <col min="11" max="11" width="8.7109375" style="67" customWidth="1"/>
    <col min="12" max="13" width="9.140625" style="67"/>
    <col min="14" max="14" width="11.140625" style="67" customWidth="1"/>
    <col min="15" max="16384" width="9.140625" style="67"/>
  </cols>
  <sheetData>
    <row r="1" spans="1:11" ht="18">
      <c r="A1" s="485" t="str">
        <f>"5.9 Spotřeba zemního plynu a teplota ovzduší: "&amp;(A3)</f>
        <v>5.9 Spotřeba zemního plynu a teplota ovzduší: I. čtvrtletí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6" customHeight="1">
      <c r="A2" s="489"/>
      <c r="B2" s="489"/>
      <c r="C2" s="267"/>
      <c r="D2" s="268"/>
      <c r="E2" s="269"/>
      <c r="F2" s="269"/>
      <c r="G2" s="269"/>
      <c r="H2" s="269"/>
    </row>
    <row r="3" spans="1:11" ht="18.75" customHeight="1">
      <c r="A3" s="492" t="str">
        <f>'3.1'!G5</f>
        <v>I. čtvrtletí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</row>
    <row r="4" spans="1:11" ht="24.95" customHeight="1">
      <c r="A4" s="112"/>
      <c r="B4" s="230">
        <f>'3.1'!A4</f>
        <v>2026</v>
      </c>
      <c r="C4" s="486" t="s">
        <v>59</v>
      </c>
      <c r="D4" s="487"/>
      <c r="E4" s="487"/>
      <c r="F4" s="488"/>
      <c r="G4" s="486" t="s">
        <v>182</v>
      </c>
      <c r="H4" s="487"/>
      <c r="I4" s="487"/>
      <c r="J4" s="487"/>
      <c r="K4" s="487"/>
    </row>
    <row r="5" spans="1:11" ht="22.5" customHeight="1">
      <c r="A5" s="250"/>
      <c r="B5" s="490" t="s">
        <v>181</v>
      </c>
      <c r="C5" s="312"/>
      <c r="D5" s="313"/>
      <c r="E5" s="495" t="s">
        <v>265</v>
      </c>
      <c r="F5" s="496" t="s">
        <v>268</v>
      </c>
      <c r="G5" s="314" t="s">
        <v>61</v>
      </c>
      <c r="H5" s="315" t="s">
        <v>170</v>
      </c>
      <c r="I5" s="315" t="s">
        <v>171</v>
      </c>
      <c r="J5" s="315" t="s">
        <v>266</v>
      </c>
      <c r="K5" s="315" t="s">
        <v>267</v>
      </c>
    </row>
    <row r="6" spans="1:11" ht="24.95" customHeight="1">
      <c r="A6" s="316" t="s">
        <v>269</v>
      </c>
      <c r="B6" s="491"/>
      <c r="C6" s="201" t="s">
        <v>247</v>
      </c>
      <c r="D6" s="199" t="s">
        <v>248</v>
      </c>
      <c r="E6" s="451"/>
      <c r="F6" s="491"/>
      <c r="G6" s="317" t="s">
        <v>218</v>
      </c>
      <c r="H6" s="318" t="s">
        <v>218</v>
      </c>
      <c r="I6" s="318" t="s">
        <v>218</v>
      </c>
      <c r="J6" s="318" t="s">
        <v>218</v>
      </c>
      <c r="K6" s="318" t="s">
        <v>218</v>
      </c>
    </row>
    <row r="7" spans="1:11" ht="15.95" customHeight="1">
      <c r="A7" s="135" t="s">
        <v>303</v>
      </c>
      <c r="B7" s="113">
        <f>'5.2'!D34</f>
        <v>392314</v>
      </c>
      <c r="C7" s="280">
        <f>'5.2'!E34</f>
        <v>324956.15078993305</v>
      </c>
      <c r="D7" s="113">
        <f>'5.2'!F34</f>
        <v>3560363.4120618938</v>
      </c>
      <c r="E7" s="274">
        <f>C7/$C$11</f>
        <v>0.11290047423223556</v>
      </c>
      <c r="F7" s="299">
        <f>'5.2'!H34</f>
        <v>3.3617754627690739E-2</v>
      </c>
      <c r="G7" s="297">
        <f>AVERAGE('5.6'!G7,'5.7'!G7,'5.8'!G7)</f>
        <v>2.5762288786482332</v>
      </c>
      <c r="H7" s="291">
        <f>MAX('5.6'!H7,'5.7'!H7,'5.8'!H7)</f>
        <v>10</v>
      </c>
      <c r="I7" s="291">
        <f>MIN('5.6'!I7,'5.7'!I7,'5.8'!I7)</f>
        <v>-6.4</v>
      </c>
      <c r="J7" s="291">
        <f>AVERAGE('5.6'!J7,'5.7'!J7,'5.8'!J7)</f>
        <v>2.4678902484241751</v>
      </c>
      <c r="K7" s="291">
        <f>G7-J7</f>
        <v>0.1083386302240581</v>
      </c>
    </row>
    <row r="8" spans="1:11" ht="15.95" customHeight="1">
      <c r="A8" s="135" t="s">
        <v>84</v>
      </c>
      <c r="B8" s="113">
        <f>'5.3'!D34</f>
        <v>2182822</v>
      </c>
      <c r="C8" s="280">
        <f>'5.3'!E34</f>
        <v>2258466.0760156801</v>
      </c>
      <c r="D8" s="113">
        <f>'5.3'!F34</f>
        <v>24708950.786779996</v>
      </c>
      <c r="E8" s="274">
        <f t="shared" ref="E8:E10" si="0">C8/$C$11</f>
        <v>0.78466553225643898</v>
      </c>
      <c r="F8" s="299">
        <f>'5.3'!H34</f>
        <v>2.0308229984042962E-2</v>
      </c>
      <c r="G8" s="297">
        <f>AVERAGE('5.6'!G8,'5.7'!G8,'5.8'!G8)</f>
        <v>1.3506848438300054</v>
      </c>
      <c r="H8" s="292">
        <f>MAX('5.6'!H8,'5.7'!H8,'5.8'!H8)</f>
        <v>9.6</v>
      </c>
      <c r="I8" s="292">
        <f>MIN('5.6'!I8,'5.7'!I8,'5.8'!I8)</f>
        <v>-7.75</v>
      </c>
      <c r="J8" s="292">
        <f>AVERAGE('5.6'!J8,'5.7'!J8,'5.8'!J8)</f>
        <v>0.87591768631813149</v>
      </c>
      <c r="K8" s="291">
        <f t="shared" ref="K8:K11" si="1">G8-J8</f>
        <v>0.47476715751187393</v>
      </c>
    </row>
    <row r="9" spans="1:11" ht="15.95" customHeight="1">
      <c r="A9" s="135" t="s">
        <v>309</v>
      </c>
      <c r="B9" s="113">
        <f>'5.4'!D34</f>
        <v>110601</v>
      </c>
      <c r="C9" s="280">
        <f>'5.4'!E34</f>
        <v>112148.50400199999</v>
      </c>
      <c r="D9" s="113">
        <f>'5.4'!F34</f>
        <v>1227681.5646470001</v>
      </c>
      <c r="E9" s="274">
        <f t="shared" si="0"/>
        <v>3.8964085632730905E-2</v>
      </c>
      <c r="F9" s="299">
        <f>'5.4'!H34</f>
        <v>2.9636387822478988E-2</v>
      </c>
      <c r="G9" s="297">
        <f>AVERAGE('5.6'!G9,'5.7'!G9,'5.8'!G9)</f>
        <v>1.1013824884792631</v>
      </c>
      <c r="H9" s="292">
        <f>MAX('5.6'!H9,'5.7'!H9,'5.8'!H9)</f>
        <v>8.8000000000000007</v>
      </c>
      <c r="I9" s="292">
        <f>MIN('5.6'!I9,'5.7'!I9,'5.8'!I9)</f>
        <v>-8.9</v>
      </c>
      <c r="J9" s="292">
        <f>AVERAGE('5.6'!J9,'5.7'!J9,'5.8'!J9)</f>
        <v>0.64015572858731928</v>
      </c>
      <c r="K9" s="291">
        <f t="shared" si="1"/>
        <v>0.46122675989194384</v>
      </c>
    </row>
    <row r="10" spans="1:11" ht="15.95" customHeight="1">
      <c r="A10" s="135" t="s">
        <v>31</v>
      </c>
      <c r="B10" s="113">
        <f>'5.5'!D34</f>
        <v>9486</v>
      </c>
      <c r="C10" s="280">
        <f>'5.5'!E34</f>
        <v>182682.46520200002</v>
      </c>
      <c r="D10" s="113">
        <f>'5.5'!F34</f>
        <v>2004138.2859209997</v>
      </c>
      <c r="E10" s="274">
        <f t="shared" si="0"/>
        <v>6.3469907878594384E-2</v>
      </c>
      <c r="F10" s="299">
        <f>'5.5'!H34</f>
        <v>0.5193764170133458</v>
      </c>
      <c r="G10" s="297">
        <f>AVERAGE('5.6'!G10,'5.7'!G10,'5.8'!G10)</f>
        <v>1.3557219662058373</v>
      </c>
      <c r="H10" s="292">
        <f>MAX('5.6'!H10,'5.7'!H10,'5.8'!H10)</f>
        <v>9.6999999999999993</v>
      </c>
      <c r="I10" s="292">
        <f>MIN('5.6'!I10,'5.7'!I10,'5.8'!I10)</f>
        <v>-7.8</v>
      </c>
      <c r="J10" s="292">
        <f>AVERAGE('5.6'!J10,'5.7'!J10,'5.8'!J10)</f>
        <v>0.86062291434927696</v>
      </c>
      <c r="K10" s="291">
        <f t="shared" si="1"/>
        <v>0.49509905185656033</v>
      </c>
    </row>
    <row r="11" spans="1:11" ht="15.95" customHeight="1">
      <c r="A11" s="140" t="s">
        <v>3</v>
      </c>
      <c r="B11" s="277">
        <f>'5.1'!D35</f>
        <v>2695223</v>
      </c>
      <c r="C11" s="281">
        <f>'5.1'!E35</f>
        <v>2878253.1960096136</v>
      </c>
      <c r="D11" s="277">
        <f>'5.1'!F35</f>
        <v>31501134.049409896</v>
      </c>
      <c r="E11" s="278">
        <f t="shared" ref="E11" si="2">SUM(E7:E10)</f>
        <v>0.99999999999999989</v>
      </c>
      <c r="F11" s="300">
        <f>'5.1'!H35</f>
        <v>4.3958785452658931E-2</v>
      </c>
      <c r="G11" s="298">
        <f>AVERAGE('5.6'!G11,'5.7'!G11,'5.8'!G11)</f>
        <v>1.3557219662058373</v>
      </c>
      <c r="H11" s="296">
        <f>MAX('5.6'!H11,'5.7'!H11,'5.8'!H11)</f>
        <v>9.6999999999999993</v>
      </c>
      <c r="I11" s="296">
        <f>MIN('5.6'!I11,'5.7'!I11,'5.8'!I11)</f>
        <v>-7.8</v>
      </c>
      <c r="J11" s="296">
        <f>AVERAGE('5.6'!J11,'5.7'!J11,'5.8'!J11)</f>
        <v>0.86062291434927696</v>
      </c>
      <c r="K11" s="295">
        <f t="shared" si="1"/>
        <v>0.49509905185656033</v>
      </c>
    </row>
    <row r="12" spans="1:11" ht="15" customHeight="1">
      <c r="A12" s="90"/>
      <c r="B12" s="83"/>
      <c r="C12" s="480" t="s">
        <v>227</v>
      </c>
      <c r="D12" s="480"/>
      <c r="E12" s="480"/>
      <c r="F12" s="480"/>
      <c r="G12" s="483" t="s">
        <v>228</v>
      </c>
      <c r="H12" s="483"/>
      <c r="I12" s="483"/>
      <c r="J12" s="483"/>
      <c r="K12" s="483"/>
    </row>
    <row r="13" spans="1:11" ht="15" customHeight="1">
      <c r="A13" s="83"/>
      <c r="B13" s="83"/>
      <c r="C13" s="480"/>
      <c r="D13" s="480"/>
      <c r="E13" s="480"/>
      <c r="F13" s="480"/>
      <c r="G13" s="483" t="s">
        <v>229</v>
      </c>
      <c r="H13" s="483"/>
      <c r="I13" s="483"/>
      <c r="J13" s="483"/>
      <c r="K13" s="483"/>
    </row>
    <row r="14" spans="1:11" ht="15" customHeight="1">
      <c r="A14" s="83"/>
      <c r="B14" s="83"/>
      <c r="C14" s="87"/>
      <c r="D14" s="87"/>
      <c r="E14" s="87"/>
      <c r="F14" s="87"/>
      <c r="G14" s="77"/>
      <c r="H14" s="77"/>
      <c r="I14" s="77"/>
      <c r="J14" s="77"/>
      <c r="K14" s="77"/>
    </row>
    <row r="15" spans="1:11" ht="15" customHeight="1">
      <c r="A15" s="83"/>
      <c r="B15" s="83"/>
      <c r="C15" s="83"/>
      <c r="D15" s="88"/>
      <c r="E15" s="89"/>
      <c r="F15" s="89"/>
      <c r="G15" s="83"/>
      <c r="H15" s="90"/>
      <c r="I15" s="77"/>
      <c r="J15" s="83"/>
      <c r="K15" s="83"/>
    </row>
    <row r="16" spans="1:11" ht="18" customHeight="1">
      <c r="A16" s="484" t="s">
        <v>259</v>
      </c>
      <c r="B16" s="484"/>
      <c r="C16" s="484"/>
      <c r="D16" s="484"/>
      <c r="E16" s="484"/>
      <c r="F16" s="484" t="s">
        <v>260</v>
      </c>
      <c r="G16" s="484"/>
      <c r="H16" s="484"/>
      <c r="I16" s="484"/>
      <c r="J16" s="484"/>
      <c r="K16" s="484"/>
    </row>
    <row r="17" spans="1:11" ht="15" customHeight="1">
      <c r="A17" s="484"/>
      <c r="B17" s="484"/>
      <c r="C17" s="484"/>
      <c r="D17" s="484"/>
      <c r="E17" s="484"/>
      <c r="F17" s="484"/>
      <c r="G17" s="484"/>
      <c r="H17" s="484"/>
      <c r="I17" s="484"/>
      <c r="J17" s="484"/>
      <c r="K17" s="484"/>
    </row>
    <row r="18" spans="1:11" ht="15" customHeight="1">
      <c r="A18" s="105"/>
      <c r="B18" s="494"/>
      <c r="C18" s="494"/>
      <c r="D18" s="105"/>
      <c r="E18" s="105"/>
      <c r="F18" s="105"/>
      <c r="G18" s="105"/>
      <c r="H18" s="494"/>
      <c r="I18" s="494"/>
      <c r="J18" s="105"/>
      <c r="K18" s="105"/>
    </row>
    <row r="19" spans="1:11" ht="1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</row>
    <row r="20" spans="1:11" ht="1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 ht="1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 ht="1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 ht="1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 ht="15" customHeight="1"/>
    <row r="31" spans="1:11" ht="15" customHeight="1"/>
    <row r="32" spans="1:11" ht="15" customHeight="1"/>
    <row r="33" spans="1:11" ht="15" customHeight="1">
      <c r="A33" s="484" t="s">
        <v>261</v>
      </c>
      <c r="B33" s="467"/>
      <c r="C33" s="467"/>
      <c r="D33" s="467"/>
      <c r="E33" s="467"/>
      <c r="F33" s="484" t="s">
        <v>64</v>
      </c>
      <c r="G33" s="484"/>
      <c r="H33" s="484"/>
      <c r="I33" s="484"/>
      <c r="J33" s="484"/>
      <c r="K33" s="484"/>
    </row>
    <row r="34" spans="1:11" ht="15" customHeight="1">
      <c r="A34" s="467"/>
      <c r="B34" s="467"/>
      <c r="C34" s="467"/>
      <c r="D34" s="467"/>
      <c r="E34" s="467"/>
      <c r="F34" s="484"/>
      <c r="G34" s="484"/>
      <c r="H34" s="484"/>
      <c r="I34" s="484"/>
      <c r="J34" s="484"/>
      <c r="K34" s="484"/>
    </row>
    <row r="35" spans="1:11" ht="15" customHeight="1">
      <c r="A35" s="105"/>
      <c r="B35" s="494"/>
      <c r="C35" s="494"/>
      <c r="D35" s="105"/>
      <c r="E35" s="106"/>
      <c r="F35" s="111"/>
      <c r="G35" s="111"/>
      <c r="H35" s="493"/>
      <c r="I35" s="493"/>
      <c r="J35" s="111"/>
      <c r="K35" s="111"/>
    </row>
    <row r="36" spans="1:11" ht="15" customHeight="1">
      <c r="A36" s="105"/>
      <c r="B36" s="105"/>
      <c r="C36" s="105"/>
      <c r="D36" s="105"/>
      <c r="E36" s="107"/>
      <c r="F36" s="107"/>
      <c r="G36" s="107"/>
      <c r="J36" s="107"/>
      <c r="K36" s="107"/>
    </row>
    <row r="37" spans="1:11" ht="15" customHeight="1"/>
    <row r="38" spans="1:11" ht="15" customHeight="1"/>
    <row r="39" spans="1:11" ht="15" customHeight="1"/>
    <row r="40" spans="1:11" ht="15" customHeight="1"/>
    <row r="41" spans="1:11" ht="15" customHeight="1"/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9">
    <mergeCell ref="H35:I35"/>
    <mergeCell ref="B5:B6"/>
    <mergeCell ref="C12:F13"/>
    <mergeCell ref="G12:K12"/>
    <mergeCell ref="G13:K13"/>
    <mergeCell ref="B18:C18"/>
    <mergeCell ref="H18:I18"/>
    <mergeCell ref="B35:C35"/>
    <mergeCell ref="E5:E6"/>
    <mergeCell ref="F5:F6"/>
    <mergeCell ref="A16:E17"/>
    <mergeCell ref="A33:E34"/>
    <mergeCell ref="F33:K34"/>
    <mergeCell ref="F16:K17"/>
    <mergeCell ref="C4:F4"/>
    <mergeCell ref="A2:B2"/>
    <mergeCell ref="A1:K1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5.85546875" style="40" customWidth="1"/>
    <col min="2" max="2" width="90.28515625" style="39" customWidth="1"/>
    <col min="3" max="3" width="3.28515625" style="40" bestFit="1" customWidth="1"/>
    <col min="4" max="4" width="9.140625" style="40" customWidth="1"/>
    <col min="5" max="5" width="9.140625" style="40" hidden="1" customWidth="1"/>
    <col min="6" max="16384" width="9.140625" style="40"/>
  </cols>
  <sheetData>
    <row r="1" spans="1:5" ht="20.25">
      <c r="A1" s="38" t="s">
        <v>231</v>
      </c>
    </row>
    <row r="2" spans="1:5" ht="6" customHeight="1"/>
    <row r="3" spans="1:5" ht="15">
      <c r="A3" s="337" t="str">
        <f>MID(E3,1,1+IF(MID(E3,2,1)&lt;&gt;" ",IF(MID(E3,3,1)&lt;&gt;" ",IF(MID(E3,4,1)&lt;&gt;" ",3,2),1),0))</f>
        <v>1</v>
      </c>
      <c r="B3" s="338" t="str">
        <f>MID(E3,3+IF(MID(E3,2,1)&lt;&gt;" ",IF(MID(E3,3,1)&lt;&gt;" ",IF(MID(E3,4,1)&lt;&gt;" ",3,2),1),0),100)</f>
        <v>ZKRATKY A POJMY</v>
      </c>
      <c r="C3" s="41">
        <v>4</v>
      </c>
      <c r="E3" s="42" t="str">
        <f>'1'!A1</f>
        <v>1 ZKRATKY A POJMY</v>
      </c>
    </row>
    <row r="4" spans="1:5" ht="15">
      <c r="A4" s="337" t="str">
        <f t="shared" ref="A4:A36" si="0">MID(E4,1,1+IF(MID(E4,2,1)&lt;&gt;" ",IF(MID(E4,3,1)&lt;&gt;" ",IF(MID(E4,4,1)&lt;&gt;" ",3,2),1),0))</f>
        <v>2</v>
      </c>
      <c r="B4" s="338" t="str">
        <f t="shared" ref="B4:B36" si="1">MID(E4,3+IF(MID(E4,2,1)&lt;&gt;" ",IF(MID(E4,3,1)&lt;&gt;" ",IF(MID(E4,4,1)&lt;&gt;" ",3,2),1),0),100)</f>
        <v>STRUČNÝ PŘEHLED ZA I. ČTVRTLETÍ 2026</v>
      </c>
      <c r="C4" s="41">
        <v>6</v>
      </c>
      <c r="E4" s="42" t="str">
        <f>'2'!A1</f>
        <v>2 STRUČNÝ PŘEHLED ZA I. ČTVRTLETÍ 2026</v>
      </c>
    </row>
    <row r="5" spans="1:5" ht="15">
      <c r="A5" s="337" t="str">
        <f t="shared" si="0"/>
        <v>3</v>
      </c>
      <c r="B5" s="338" t="str">
        <f t="shared" si="1"/>
        <v>PLYNÁRENSKÁ SOUSTAVA</v>
      </c>
      <c r="C5" s="41">
        <v>7</v>
      </c>
      <c r="E5" s="42" t="str">
        <f>'3.1'!A1</f>
        <v>3 PLYNÁRENSKÁ SOUSTAVA</v>
      </c>
    </row>
    <row r="6" spans="1:5" ht="15">
      <c r="A6" s="337" t="str">
        <f t="shared" si="0"/>
        <v>3.1</v>
      </c>
      <c r="B6" s="338" t="str">
        <f t="shared" si="1"/>
        <v>Čtvrtletní bilance plynárenské soustavy ČR</v>
      </c>
      <c r="C6" s="41">
        <v>7</v>
      </c>
      <c r="E6" s="43" t="str">
        <f>'3.1'!A2</f>
        <v>3.1 Čtvrtletní bilance plynárenské soustavy ČR</v>
      </c>
    </row>
    <row r="7" spans="1:5" ht="15">
      <c r="A7" s="337" t="str">
        <f t="shared" si="0"/>
        <v>3.2</v>
      </c>
      <c r="B7" s="338" t="str">
        <f t="shared" si="1"/>
        <v>Bilance plynárenské soustavy ČR v průběhu roku</v>
      </c>
      <c r="C7" s="41">
        <v>8</v>
      </c>
      <c r="E7" s="43" t="str">
        <f>'3.2'!A1</f>
        <v>3.2 Bilance plynárenské soustavy ČR v průběhu roku</v>
      </c>
    </row>
    <row r="8" spans="1:5" ht="15">
      <c r="A8" s="337" t="str">
        <f t="shared" si="0"/>
        <v>4</v>
      </c>
      <c r="B8" s="338" t="str">
        <f t="shared" si="1"/>
        <v>SPOTŘEBA ZEMNÍHO PLYNU</v>
      </c>
      <c r="C8" s="41">
        <v>9</v>
      </c>
      <c r="E8" s="42" t="str">
        <f>'4.1'!A1</f>
        <v>4 SPOTŘEBA ZEMNÍHO PLYNU</v>
      </c>
    </row>
    <row r="9" spans="1:5" ht="15">
      <c r="A9" s="337" t="str">
        <f t="shared" si="0"/>
        <v>4.1</v>
      </c>
      <c r="B9" s="338" t="str">
        <f t="shared" si="1"/>
        <v>Spotřeba zemního plynu v ČR v průběhu roku</v>
      </c>
      <c r="C9" s="41">
        <v>9</v>
      </c>
      <c r="E9" s="42" t="str">
        <f>'4.1'!A2</f>
        <v>4.1 Spotřeba zemního plynu v ČR v průběhu roku</v>
      </c>
    </row>
    <row r="10" spans="1:5" ht="15">
      <c r="A10" s="337" t="str">
        <f t="shared" si="0"/>
        <v>4.2</v>
      </c>
      <c r="B10" s="338" t="str">
        <f t="shared" si="1"/>
        <v>Spotřeba zemního plynu v ČR podle kategorií zákazníků v průběhu roku</v>
      </c>
      <c r="C10" s="41">
        <v>10</v>
      </c>
      <c r="E10" s="43" t="str">
        <f>'4.2'!A1</f>
        <v>4.2 Spotřeba zemního plynu v ČR podle kategorií zákazníků v průběhu roku</v>
      </c>
    </row>
    <row r="11" spans="1:5" ht="15">
      <c r="A11" s="337" t="str">
        <f t="shared" si="0"/>
        <v>4.3</v>
      </c>
      <c r="B11" s="338" t="str">
        <f t="shared" si="1"/>
        <v>Denní průběh spotřeb zemního plynu v ČR</v>
      </c>
      <c r="C11" s="41">
        <v>11</v>
      </c>
      <c r="E11" s="43" t="str">
        <f>'4.3'!A1</f>
        <v>4.3 Denní průběh spotřeb zemního plynu v ČR</v>
      </c>
    </row>
    <row r="12" spans="1:5" ht="15">
      <c r="A12" s="337" t="str">
        <f t="shared" si="0"/>
        <v>5</v>
      </c>
      <c r="B12" s="338" t="str">
        <f t="shared" si="1"/>
        <v>SPOTŘEBA ZEMNÍHO PLYNU PODLE DISTRIBUČNÍCH SOUSTAV</v>
      </c>
      <c r="C12" s="41">
        <v>12</v>
      </c>
      <c r="E12" s="42" t="str">
        <f>'5.1'!A1</f>
        <v>5 SPOTŘEBA ZEMNÍHO PLYNU PODLE DISTRIBUČNÍCH SOUSTAV</v>
      </c>
    </row>
    <row r="13" spans="1:5" ht="15">
      <c r="A13" s="337" t="str">
        <f t="shared" si="0"/>
        <v>5.1</v>
      </c>
      <c r="B13" s="338" t="str">
        <f t="shared" si="1"/>
        <v>Spotřeba zemního plynu podle kategorií zákazníků v ČR</v>
      </c>
      <c r="C13" s="41">
        <v>12</v>
      </c>
      <c r="E13" s="43" t="str">
        <f>'5.1'!A2</f>
        <v>5.1 Spotřeba zemního plynu podle kategorií zákazníků v ČR</v>
      </c>
    </row>
    <row r="14" spans="1:5" ht="15">
      <c r="A14" s="337" t="str">
        <f t="shared" si="0"/>
        <v>5.2</v>
      </c>
      <c r="B14" s="338" t="str">
        <f t="shared" si="1"/>
        <v>Spotřeba zemního plynu u společnosti PPD</v>
      </c>
      <c r="C14" s="41">
        <v>13</v>
      </c>
      <c r="E14" s="44" t="str">
        <f>'5.2'!A1</f>
        <v>5.2 Spotřeba zemního plynu u společnosti PPD</v>
      </c>
    </row>
    <row r="15" spans="1:5" ht="15">
      <c r="A15" s="337" t="str">
        <f t="shared" si="0"/>
        <v>5.3</v>
      </c>
      <c r="B15" s="338" t="str">
        <f t="shared" si="1"/>
        <v>Spotřeba zemního plynu u společnosti GasNet</v>
      </c>
      <c r="C15" s="41">
        <v>14</v>
      </c>
      <c r="E15" s="43" t="str">
        <f>'5.3'!A1</f>
        <v>5.3 Spotřeba zemního plynu u společnosti GasNet</v>
      </c>
    </row>
    <row r="16" spans="1:5" ht="15">
      <c r="A16" s="337" t="str">
        <f t="shared" si="0"/>
        <v>5.4</v>
      </c>
      <c r="B16" s="338" t="str">
        <f t="shared" si="1"/>
        <v>Spotřeba zemního plynu u společnosti GasD</v>
      </c>
      <c r="C16" s="41">
        <v>15</v>
      </c>
      <c r="E16" s="43" t="str">
        <f>'5.4'!A1</f>
        <v>5.4 Spotřeba zemního plynu u společnosti GasD</v>
      </c>
    </row>
    <row r="17" spans="1:5" ht="15">
      <c r="A17" s="337" t="str">
        <f t="shared" si="0"/>
        <v>5.5</v>
      </c>
      <c r="B17" s="338" t="str">
        <f t="shared" si="1"/>
        <v>Spotřeba zemního plynu u ostatních společností</v>
      </c>
      <c r="C17" s="41">
        <v>16</v>
      </c>
      <c r="E17" s="43" t="str">
        <f>'5.5'!A1</f>
        <v>5.5 Spotřeba zemního plynu u ostatních společností</v>
      </c>
    </row>
    <row r="18" spans="1:5" ht="15">
      <c r="A18" s="337" t="str">
        <f t="shared" si="0"/>
        <v>5.6</v>
      </c>
      <c r="B18" s="338" t="str">
        <f t="shared" si="1"/>
        <v>Spotřeba zemního plynu a teplota ovzduší: leden</v>
      </c>
      <c r="C18" s="41">
        <v>17</v>
      </c>
      <c r="E18" s="43" t="str">
        <f>'5.6'!A1</f>
        <v>5.6 Spotřeba zemního plynu a teplota ovzduší: leden</v>
      </c>
    </row>
    <row r="19" spans="1:5" ht="15">
      <c r="A19" s="337" t="str">
        <f t="shared" si="0"/>
        <v>5.7</v>
      </c>
      <c r="B19" s="338" t="str">
        <f t="shared" si="1"/>
        <v>Spotřeba zemního plynu a teplota ovzduší: únor</v>
      </c>
      <c r="C19" s="41">
        <v>18</v>
      </c>
      <c r="E19" s="43" t="str">
        <f>'5.7'!A1</f>
        <v>5.7 Spotřeba zemního plynu a teplota ovzduší: únor</v>
      </c>
    </row>
    <row r="20" spans="1:5" ht="15">
      <c r="A20" s="337" t="str">
        <f t="shared" si="0"/>
        <v>5.8</v>
      </c>
      <c r="B20" s="338" t="str">
        <f t="shared" si="1"/>
        <v>Spotřeba zemního plynu a teplota ovzduší: březen</v>
      </c>
      <c r="C20" s="41">
        <v>19</v>
      </c>
      <c r="E20" s="43" t="str">
        <f>'5.8'!A1</f>
        <v>5.8 Spotřeba zemního plynu a teplota ovzduší: březen</v>
      </c>
    </row>
    <row r="21" spans="1:5" ht="15">
      <c r="A21" s="337" t="str">
        <f t="shared" si="0"/>
        <v>5.9</v>
      </c>
      <c r="B21" s="338" t="str">
        <f t="shared" si="1"/>
        <v>Spotřeba zemního plynu a teplota ovzduší: I. čtvrtletí</v>
      </c>
      <c r="C21" s="41">
        <v>20</v>
      </c>
      <c r="E21" s="43" t="str">
        <f>'5.9'!A1</f>
        <v>5.9 Spotřeba zemního plynu a teplota ovzduší: I. čtvrtletí</v>
      </c>
    </row>
    <row r="22" spans="1:5" ht="15">
      <c r="A22" s="337" t="str">
        <f t="shared" si="0"/>
        <v>5.10</v>
      </c>
      <c r="B22" s="338" t="str">
        <f t="shared" si="1"/>
        <v>Spotřeba zemního plynu podle plynárenských soustav v průběhu roku</v>
      </c>
      <c r="C22" s="41">
        <v>21</v>
      </c>
      <c r="E22" s="43" t="str">
        <f>'5.10'!A1</f>
        <v>5.10 Spotřeba zemního plynu podle plynárenských soustav v průběhu roku</v>
      </c>
    </row>
    <row r="23" spans="1:5" ht="15">
      <c r="A23" s="337" t="str">
        <f t="shared" si="0"/>
        <v>6</v>
      </c>
      <c r="B23" s="338" t="str">
        <f t="shared" si="1"/>
        <v>SPOTŘEBA ZEMNÍHO PLYNU PODLE KRAJŮ</v>
      </c>
      <c r="C23" s="41">
        <v>22</v>
      </c>
      <c r="E23" s="42" t="str">
        <f>'6.1'!A1</f>
        <v>6 SPOTŘEBA ZEMNÍHO PLYNU PODLE KRAJŮ</v>
      </c>
    </row>
    <row r="24" spans="1:5" ht="15">
      <c r="A24" s="337" t="str">
        <f t="shared" si="0"/>
        <v>6.1</v>
      </c>
      <c r="B24" s="338" t="str">
        <f t="shared" si="1"/>
        <v>Spotřeba zemního plynu: Jihočeský a Jihomoravský kraj</v>
      </c>
      <c r="C24" s="41">
        <v>22</v>
      </c>
      <c r="E24" s="43" t="str">
        <f>'6.1'!A2</f>
        <v>6.1 Spotřeba zemního plynu: Jihočeský a Jihomoravský kraj</v>
      </c>
    </row>
    <row r="25" spans="1:5" ht="15">
      <c r="A25" s="337" t="str">
        <f t="shared" si="0"/>
        <v>6.2</v>
      </c>
      <c r="B25" s="338" t="str">
        <f t="shared" si="1"/>
        <v>Spotřeba zemního plynu: Karlovarský a Královéhradecký kraj</v>
      </c>
      <c r="C25" s="41">
        <v>23</v>
      </c>
      <c r="E25" s="43" t="str">
        <f>'6.2'!A1</f>
        <v>6.2 Spotřeba zemního plynu: Karlovarský a Královéhradecký kraj</v>
      </c>
    </row>
    <row r="26" spans="1:5" ht="15">
      <c r="A26" s="337" t="str">
        <f t="shared" si="0"/>
        <v>6.3</v>
      </c>
      <c r="B26" s="338" t="str">
        <f t="shared" si="1"/>
        <v>Spotřeba zemního plynu: Liberecký a Moravskoslezský kraj</v>
      </c>
      <c r="C26" s="41">
        <v>24</v>
      </c>
      <c r="E26" s="43" t="str">
        <f>'6.3'!A1</f>
        <v>6.3 Spotřeba zemního plynu: Liberecký a Moravskoslezský kraj</v>
      </c>
    </row>
    <row r="27" spans="1:5" ht="15">
      <c r="A27" s="337" t="str">
        <f t="shared" si="0"/>
        <v>6.4</v>
      </c>
      <c r="B27" s="338" t="str">
        <f t="shared" si="1"/>
        <v>Spotřeba zemního plynu: Olomoucký a Pardubický kraj</v>
      </c>
      <c r="C27" s="41">
        <v>25</v>
      </c>
      <c r="E27" s="43" t="str">
        <f>'6.4'!A1</f>
        <v>6.4 Spotřeba zemního plynu: Olomoucký a Pardubický kraj</v>
      </c>
    </row>
    <row r="28" spans="1:5" ht="15">
      <c r="A28" s="337" t="str">
        <f t="shared" si="0"/>
        <v>6.5</v>
      </c>
      <c r="B28" s="338" t="str">
        <f t="shared" si="1"/>
        <v>Spotřeba zemního plynu: Plzeňský kraj a Hlavní město Praha</v>
      </c>
      <c r="C28" s="41">
        <v>26</v>
      </c>
      <c r="E28" s="43" t="str">
        <f>'6.5'!A1</f>
        <v>6.5 Spotřeba zemního plynu: Plzeňský kraj a Hlavní město Praha</v>
      </c>
    </row>
    <row r="29" spans="1:5" ht="15">
      <c r="A29" s="337" t="str">
        <f t="shared" si="0"/>
        <v>6.6</v>
      </c>
      <c r="B29" s="338" t="str">
        <f t="shared" si="1"/>
        <v>Spotřeba zemního plynu: Středočeský a Ústecký kraj</v>
      </c>
      <c r="C29" s="41">
        <v>27</v>
      </c>
      <c r="E29" s="43" t="str">
        <f>'6.6'!A1</f>
        <v>6.6 Spotřeba zemního plynu: Středočeský a Ústecký kraj</v>
      </c>
    </row>
    <row r="30" spans="1:5" ht="15">
      <c r="A30" s="337" t="str">
        <f t="shared" si="0"/>
        <v>6.7</v>
      </c>
      <c r="B30" s="338" t="str">
        <f t="shared" si="1"/>
        <v>Spotřeba zemního plynu: Kraj Vysočina a Zlínský kraj</v>
      </c>
      <c r="C30" s="41">
        <v>28</v>
      </c>
      <c r="E30" s="43" t="str">
        <f>'6.7'!A1</f>
        <v>6.7 Spotřeba zemního plynu: Kraj Vysočina a Zlínský kraj</v>
      </c>
    </row>
    <row r="31" spans="1:5" ht="15">
      <c r="A31" s="337" t="str">
        <f t="shared" si="0"/>
        <v>6.8</v>
      </c>
      <c r="B31" s="338" t="str">
        <f t="shared" si="1"/>
        <v>Spotřeba zemního plynu a teplota ovzduší podle krajů: leden</v>
      </c>
      <c r="C31" s="41">
        <v>29</v>
      </c>
      <c r="E31" s="43" t="str">
        <f>'6.8'!A1</f>
        <v>6.8 Spotřeba zemního plynu a teplota ovzduší podle krajů: leden</v>
      </c>
    </row>
    <row r="32" spans="1:5" ht="15">
      <c r="A32" s="337" t="str">
        <f t="shared" si="0"/>
        <v>6.9</v>
      </c>
      <c r="B32" s="338" t="str">
        <f t="shared" si="1"/>
        <v>Spotřeba zemního plynu a teplota ovzduší podle krajů: únor</v>
      </c>
      <c r="C32" s="41">
        <v>30</v>
      </c>
      <c r="E32" s="43" t="str">
        <f>'6.9'!A1</f>
        <v>6.9 Spotřeba zemního plynu a teplota ovzduší podle krajů: únor</v>
      </c>
    </row>
    <row r="33" spans="1:5" ht="15">
      <c r="A33" s="337" t="str">
        <f t="shared" si="0"/>
        <v>6.10</v>
      </c>
      <c r="B33" s="338" t="str">
        <f t="shared" si="1"/>
        <v>Spotřeba zemního plynu a teplota ovzduší podle krajů: březen</v>
      </c>
      <c r="C33" s="41">
        <v>31</v>
      </c>
      <c r="E33" s="43" t="str">
        <f>'6.10'!A1</f>
        <v>6.10 Spotřeba zemního plynu a teplota ovzduší podle krajů: březen</v>
      </c>
    </row>
    <row r="34" spans="1:5" ht="15">
      <c r="A34" s="337" t="str">
        <f t="shared" si="0"/>
        <v>6.11</v>
      </c>
      <c r="B34" s="338" t="str">
        <f t="shared" si="1"/>
        <v>Spotřeba zemního plynu a teplota ovzduší podle krajů: I. čtvrtletí</v>
      </c>
      <c r="C34" s="41">
        <v>32</v>
      </c>
      <c r="E34" s="43" t="str">
        <f>'6.11'!A1</f>
        <v>6.11 Spotřeba zemního plynu a teplota ovzduší podle krajů: I. čtvrtletí</v>
      </c>
    </row>
    <row r="35" spans="1:5" ht="15">
      <c r="A35" s="337" t="str">
        <f t="shared" si="0"/>
        <v>6.12</v>
      </c>
      <c r="B35" s="338" t="str">
        <f t="shared" si="1"/>
        <v>Spotřeba zemního plynu podle krajů v ČR v průběhu roku</v>
      </c>
      <c r="C35" s="41">
        <v>33</v>
      </c>
      <c r="E35" s="43" t="str">
        <f>'6.12'!A1</f>
        <v>6.12 Spotřeba zemního plynu podle krajů v ČR v průběhu roku</v>
      </c>
    </row>
    <row r="36" spans="1:5" ht="15">
      <c r="A36" s="337" t="str">
        <f t="shared" si="0"/>
        <v>7</v>
      </c>
      <c r="B36" s="338" t="str">
        <f t="shared" si="1"/>
        <v>MAPA PLYNÁRENSKÉ SOUSTAVY ČR</v>
      </c>
      <c r="C36" s="41">
        <v>35</v>
      </c>
      <c r="E36" s="42" t="str">
        <f>'7'!A1</f>
        <v>7 MAPA PLYNÁRENSKÉ SOUSTAVY ČR</v>
      </c>
    </row>
    <row r="37" spans="1:5" ht="12" customHeight="1">
      <c r="B37" s="45"/>
    </row>
    <row r="38" spans="1:5" ht="12" customHeight="1">
      <c r="B38" s="45"/>
    </row>
    <row r="39" spans="1:5" ht="12" customHeight="1">
      <c r="B39" s="45"/>
    </row>
    <row r="40" spans="1:5" ht="12" customHeight="1">
      <c r="B40" s="45"/>
    </row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2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9.7109375" style="4" customWidth="1"/>
    <col min="2" max="10" width="8.85546875" style="4" customWidth="1"/>
    <col min="11" max="11" width="9" style="4" customWidth="1"/>
    <col min="12" max="12" width="9.28515625" style="4" bestFit="1" customWidth="1"/>
    <col min="13" max="13" width="11.42578125" style="4" bestFit="1" customWidth="1"/>
    <col min="14" max="252" width="9.140625" style="4"/>
    <col min="253" max="265" width="10.7109375" style="4" customWidth="1"/>
    <col min="266" max="508" width="9.140625" style="4"/>
    <col min="509" max="521" width="10.7109375" style="4" customWidth="1"/>
    <col min="522" max="764" width="9.140625" style="4"/>
    <col min="765" max="777" width="10.7109375" style="4" customWidth="1"/>
    <col min="778" max="1020" width="9.140625" style="4"/>
    <col min="1021" max="1033" width="10.7109375" style="4" customWidth="1"/>
    <col min="1034" max="1276" width="9.140625" style="4"/>
    <col min="1277" max="1289" width="10.7109375" style="4" customWidth="1"/>
    <col min="1290" max="1532" width="9.140625" style="4"/>
    <col min="1533" max="1545" width="10.7109375" style="4" customWidth="1"/>
    <col min="1546" max="1788" width="9.140625" style="4"/>
    <col min="1789" max="1801" width="10.7109375" style="4" customWidth="1"/>
    <col min="1802" max="2044" width="9.140625" style="4"/>
    <col min="2045" max="2057" width="10.7109375" style="4" customWidth="1"/>
    <col min="2058" max="2300" width="9.140625" style="4"/>
    <col min="2301" max="2313" width="10.7109375" style="4" customWidth="1"/>
    <col min="2314" max="2556" width="9.140625" style="4"/>
    <col min="2557" max="2569" width="10.7109375" style="4" customWidth="1"/>
    <col min="2570" max="2812" width="9.140625" style="4"/>
    <col min="2813" max="2825" width="10.7109375" style="4" customWidth="1"/>
    <col min="2826" max="3068" width="9.140625" style="4"/>
    <col min="3069" max="3081" width="10.7109375" style="4" customWidth="1"/>
    <col min="3082" max="3324" width="9.140625" style="4"/>
    <col min="3325" max="3337" width="10.7109375" style="4" customWidth="1"/>
    <col min="3338" max="3580" width="9.140625" style="4"/>
    <col min="3581" max="3593" width="10.7109375" style="4" customWidth="1"/>
    <col min="3594" max="3836" width="9.140625" style="4"/>
    <col min="3837" max="3849" width="10.7109375" style="4" customWidth="1"/>
    <col min="3850" max="4092" width="9.140625" style="4"/>
    <col min="4093" max="4105" width="10.7109375" style="4" customWidth="1"/>
    <col min="4106" max="4348" width="9.140625" style="4"/>
    <col min="4349" max="4361" width="10.7109375" style="4" customWidth="1"/>
    <col min="4362" max="4604" width="9.140625" style="4"/>
    <col min="4605" max="4617" width="10.7109375" style="4" customWidth="1"/>
    <col min="4618" max="4860" width="9.140625" style="4"/>
    <col min="4861" max="4873" width="10.7109375" style="4" customWidth="1"/>
    <col min="4874" max="5116" width="9.140625" style="4"/>
    <col min="5117" max="5129" width="10.7109375" style="4" customWidth="1"/>
    <col min="5130" max="5372" width="9.140625" style="4"/>
    <col min="5373" max="5385" width="10.7109375" style="4" customWidth="1"/>
    <col min="5386" max="5628" width="9.140625" style="4"/>
    <col min="5629" max="5641" width="10.7109375" style="4" customWidth="1"/>
    <col min="5642" max="5884" width="9.140625" style="4"/>
    <col min="5885" max="5897" width="10.7109375" style="4" customWidth="1"/>
    <col min="5898" max="6140" width="9.140625" style="4"/>
    <col min="6141" max="6153" width="10.7109375" style="4" customWidth="1"/>
    <col min="6154" max="6396" width="9.140625" style="4"/>
    <col min="6397" max="6409" width="10.7109375" style="4" customWidth="1"/>
    <col min="6410" max="6652" width="9.140625" style="4"/>
    <col min="6653" max="6665" width="10.7109375" style="4" customWidth="1"/>
    <col min="6666" max="6908" width="9.140625" style="4"/>
    <col min="6909" max="6921" width="10.7109375" style="4" customWidth="1"/>
    <col min="6922" max="7164" width="9.140625" style="4"/>
    <col min="7165" max="7177" width="10.7109375" style="4" customWidth="1"/>
    <col min="7178" max="7420" width="9.140625" style="4"/>
    <col min="7421" max="7433" width="10.7109375" style="4" customWidth="1"/>
    <col min="7434" max="7676" width="9.140625" style="4"/>
    <col min="7677" max="7689" width="10.7109375" style="4" customWidth="1"/>
    <col min="7690" max="7932" width="9.140625" style="4"/>
    <col min="7933" max="7945" width="10.7109375" style="4" customWidth="1"/>
    <col min="7946" max="8188" width="9.140625" style="4"/>
    <col min="8189" max="8201" width="10.7109375" style="4" customWidth="1"/>
    <col min="8202" max="8444" width="9.140625" style="4"/>
    <col min="8445" max="8457" width="10.7109375" style="4" customWidth="1"/>
    <col min="8458" max="8700" width="9.140625" style="4"/>
    <col min="8701" max="8713" width="10.7109375" style="4" customWidth="1"/>
    <col min="8714" max="8956" width="9.140625" style="4"/>
    <col min="8957" max="8969" width="10.7109375" style="4" customWidth="1"/>
    <col min="8970" max="9212" width="9.140625" style="4"/>
    <col min="9213" max="9225" width="10.7109375" style="4" customWidth="1"/>
    <col min="9226" max="9468" width="9.140625" style="4"/>
    <col min="9469" max="9481" width="10.7109375" style="4" customWidth="1"/>
    <col min="9482" max="9724" width="9.140625" style="4"/>
    <col min="9725" max="9737" width="10.7109375" style="4" customWidth="1"/>
    <col min="9738" max="9980" width="9.140625" style="4"/>
    <col min="9981" max="9993" width="10.7109375" style="4" customWidth="1"/>
    <col min="9994" max="10236" width="9.140625" style="4"/>
    <col min="10237" max="10249" width="10.7109375" style="4" customWidth="1"/>
    <col min="10250" max="10492" width="9.140625" style="4"/>
    <col min="10493" max="10505" width="10.7109375" style="4" customWidth="1"/>
    <col min="10506" max="10748" width="9.140625" style="4"/>
    <col min="10749" max="10761" width="10.7109375" style="4" customWidth="1"/>
    <col min="10762" max="11004" width="9.140625" style="4"/>
    <col min="11005" max="11017" width="10.7109375" style="4" customWidth="1"/>
    <col min="11018" max="11260" width="9.140625" style="4"/>
    <col min="11261" max="11273" width="10.7109375" style="4" customWidth="1"/>
    <col min="11274" max="11516" width="9.140625" style="4"/>
    <col min="11517" max="11529" width="10.7109375" style="4" customWidth="1"/>
    <col min="11530" max="11772" width="9.140625" style="4"/>
    <col min="11773" max="11785" width="10.7109375" style="4" customWidth="1"/>
    <col min="11786" max="12028" width="9.140625" style="4"/>
    <col min="12029" max="12041" width="10.7109375" style="4" customWidth="1"/>
    <col min="12042" max="12284" width="9.140625" style="4"/>
    <col min="12285" max="12297" width="10.7109375" style="4" customWidth="1"/>
    <col min="12298" max="12540" width="9.140625" style="4"/>
    <col min="12541" max="12553" width="10.7109375" style="4" customWidth="1"/>
    <col min="12554" max="12796" width="9.140625" style="4"/>
    <col min="12797" max="12809" width="10.7109375" style="4" customWidth="1"/>
    <col min="12810" max="13052" width="9.140625" style="4"/>
    <col min="13053" max="13065" width="10.7109375" style="4" customWidth="1"/>
    <col min="13066" max="13308" width="9.140625" style="4"/>
    <col min="13309" max="13321" width="10.7109375" style="4" customWidth="1"/>
    <col min="13322" max="13564" width="9.140625" style="4"/>
    <col min="13565" max="13577" width="10.7109375" style="4" customWidth="1"/>
    <col min="13578" max="13820" width="9.140625" style="4"/>
    <col min="13821" max="13833" width="10.7109375" style="4" customWidth="1"/>
    <col min="13834" max="14076" width="9.140625" style="4"/>
    <col min="14077" max="14089" width="10.7109375" style="4" customWidth="1"/>
    <col min="14090" max="14332" width="9.140625" style="4"/>
    <col min="14333" max="14345" width="10.7109375" style="4" customWidth="1"/>
    <col min="14346" max="14588" width="9.140625" style="4"/>
    <col min="14589" max="14601" width="10.7109375" style="4" customWidth="1"/>
    <col min="14602" max="14844" width="9.140625" style="4"/>
    <col min="14845" max="14857" width="10.7109375" style="4" customWidth="1"/>
    <col min="14858" max="15100" width="9.140625" style="4"/>
    <col min="15101" max="15113" width="10.7109375" style="4" customWidth="1"/>
    <col min="15114" max="15356" width="9.140625" style="4"/>
    <col min="15357" max="15369" width="10.7109375" style="4" customWidth="1"/>
    <col min="15370" max="15612" width="9.140625" style="4"/>
    <col min="15613" max="15625" width="10.7109375" style="4" customWidth="1"/>
    <col min="15626" max="15868" width="9.140625" style="4"/>
    <col min="15869" max="15881" width="10.7109375" style="4" customWidth="1"/>
    <col min="15882" max="16124" width="9.140625" style="4"/>
    <col min="16125" max="16137" width="10.7109375" style="4" customWidth="1"/>
    <col min="16138" max="16384" width="9.140625" style="4"/>
  </cols>
  <sheetData>
    <row r="1" spans="1:15" ht="18">
      <c r="A1" s="425" t="s">
        <v>286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5" ht="6" customHeight="1">
      <c r="A2" s="498"/>
      <c r="B2" s="499"/>
      <c r="C2" s="499"/>
      <c r="D2" s="499"/>
      <c r="E2" s="499"/>
      <c r="F2" s="499"/>
      <c r="G2" s="499"/>
      <c r="H2" s="499"/>
      <c r="I2" s="499"/>
      <c r="J2" s="188"/>
      <c r="K2" s="187"/>
    </row>
    <row r="3" spans="1:15" ht="20.100000000000001" customHeight="1">
      <c r="A3" s="303">
        <f>'3.1'!A4</f>
        <v>2026</v>
      </c>
      <c r="B3" s="431" t="s">
        <v>262</v>
      </c>
      <c r="C3" s="437"/>
      <c r="D3" s="437"/>
      <c r="E3" s="437"/>
      <c r="F3" s="433"/>
      <c r="G3" s="431" t="s">
        <v>263</v>
      </c>
      <c r="H3" s="437"/>
      <c r="I3" s="437"/>
      <c r="J3" s="437"/>
      <c r="K3" s="437"/>
    </row>
    <row r="4" spans="1:15" ht="67.5" customHeight="1">
      <c r="A4" s="304"/>
      <c r="B4" s="305" t="s">
        <v>303</v>
      </c>
      <c r="C4" s="213" t="s">
        <v>86</v>
      </c>
      <c r="D4" s="213" t="s">
        <v>311</v>
      </c>
      <c r="E4" s="213" t="s">
        <v>81</v>
      </c>
      <c r="F4" s="306" t="s">
        <v>80</v>
      </c>
      <c r="G4" s="305" t="s">
        <v>303</v>
      </c>
      <c r="H4" s="213" t="s">
        <v>86</v>
      </c>
      <c r="I4" s="213" t="s">
        <v>311</v>
      </c>
      <c r="J4" s="213" t="s">
        <v>81</v>
      </c>
      <c r="K4" s="213" t="s">
        <v>80</v>
      </c>
    </row>
    <row r="5" spans="1:15" ht="18" customHeight="1">
      <c r="A5" s="157" t="s">
        <v>157</v>
      </c>
      <c r="B5" s="219">
        <v>142595.45382869602</v>
      </c>
      <c r="C5" s="214">
        <v>952749.04792148492</v>
      </c>
      <c r="D5" s="215">
        <v>47120.179000000004</v>
      </c>
      <c r="E5" s="215">
        <v>90239.465120000023</v>
      </c>
      <c r="F5" s="221">
        <v>1232704.145870181</v>
      </c>
      <c r="G5" s="301">
        <v>1562865.4512760551</v>
      </c>
      <c r="H5" s="215">
        <v>10428303.006039999</v>
      </c>
      <c r="I5" s="215">
        <v>516256.15145299997</v>
      </c>
      <c r="J5" s="215">
        <v>990177.60400599998</v>
      </c>
      <c r="K5" s="215">
        <v>13497602.212775053</v>
      </c>
      <c r="L5" s="48"/>
      <c r="M5" s="49"/>
      <c r="N5" s="49"/>
      <c r="O5" s="49"/>
    </row>
    <row r="6" spans="1:15" ht="18" customHeight="1">
      <c r="A6" s="157" t="s">
        <v>158</v>
      </c>
      <c r="B6" s="219">
        <v>101603.120882182</v>
      </c>
      <c r="C6" s="215">
        <v>726166.03915621003</v>
      </c>
      <c r="D6" s="215">
        <v>35299.401001000006</v>
      </c>
      <c r="E6" s="215">
        <v>61474.800102000008</v>
      </c>
      <c r="F6" s="221">
        <v>924543.36114139203</v>
      </c>
      <c r="G6" s="301">
        <v>1109550.0925357959</v>
      </c>
      <c r="H6" s="215">
        <v>7920492.7399499994</v>
      </c>
      <c r="I6" s="215">
        <v>385460.114978</v>
      </c>
      <c r="J6" s="215">
        <v>673513.9042059998</v>
      </c>
      <c r="K6" s="215">
        <v>10089016.851669796</v>
      </c>
      <c r="L6" s="50"/>
      <c r="M6" s="49"/>
      <c r="N6" s="49"/>
      <c r="O6" s="49"/>
    </row>
    <row r="7" spans="1:15" ht="18" customHeight="1">
      <c r="A7" s="160" t="s">
        <v>159</v>
      </c>
      <c r="B7" s="220">
        <v>80757.576079054998</v>
      </c>
      <c r="C7" s="218">
        <v>579550.98893798504</v>
      </c>
      <c r="D7" s="218">
        <v>29728.924000999996</v>
      </c>
      <c r="E7" s="218">
        <v>30968.199980000001</v>
      </c>
      <c r="F7" s="222">
        <v>721005.68899804004</v>
      </c>
      <c r="G7" s="302">
        <v>887947.86825004301</v>
      </c>
      <c r="H7" s="218">
        <v>6360155.04079</v>
      </c>
      <c r="I7" s="218">
        <v>325965.29821600002</v>
      </c>
      <c r="J7" s="218">
        <v>340446.7777090001</v>
      </c>
      <c r="K7" s="218">
        <v>7914514.9849650431</v>
      </c>
      <c r="L7" s="51"/>
      <c r="M7" s="49"/>
      <c r="N7" s="49"/>
      <c r="O7" s="49"/>
    </row>
    <row r="8" spans="1:15" ht="18" customHeight="1">
      <c r="A8" s="157" t="s">
        <v>160</v>
      </c>
      <c r="B8" s="219"/>
      <c r="C8" s="215"/>
      <c r="D8" s="215"/>
      <c r="E8" s="215"/>
      <c r="F8" s="221"/>
      <c r="G8" s="301"/>
      <c r="H8" s="215"/>
      <c r="I8" s="215"/>
      <c r="J8" s="215"/>
      <c r="K8" s="215"/>
      <c r="L8" s="50"/>
      <c r="M8" s="49"/>
      <c r="N8" s="49"/>
      <c r="O8" s="49"/>
    </row>
    <row r="9" spans="1:15" ht="18" customHeight="1">
      <c r="A9" s="157" t="s">
        <v>161</v>
      </c>
      <c r="B9" s="219"/>
      <c r="C9" s="215"/>
      <c r="D9" s="215"/>
      <c r="E9" s="215"/>
      <c r="F9" s="221"/>
      <c r="G9" s="301"/>
      <c r="H9" s="215"/>
      <c r="I9" s="215"/>
      <c r="J9" s="215"/>
      <c r="K9" s="215"/>
      <c r="L9" s="50"/>
      <c r="M9" s="49"/>
      <c r="N9" s="49"/>
      <c r="O9" s="49"/>
    </row>
    <row r="10" spans="1:15" ht="18" customHeight="1">
      <c r="A10" s="160" t="s">
        <v>162</v>
      </c>
      <c r="B10" s="220"/>
      <c r="C10" s="218"/>
      <c r="D10" s="218"/>
      <c r="E10" s="218"/>
      <c r="F10" s="222"/>
      <c r="G10" s="302"/>
      <c r="H10" s="218"/>
      <c r="I10" s="218"/>
      <c r="J10" s="218"/>
      <c r="K10" s="218"/>
      <c r="L10" s="50"/>
      <c r="M10" s="49"/>
      <c r="N10" s="49"/>
      <c r="O10" s="49"/>
    </row>
    <row r="11" spans="1:15" ht="18" customHeight="1">
      <c r="A11" s="157" t="s">
        <v>163</v>
      </c>
      <c r="B11" s="219"/>
      <c r="C11" s="215"/>
      <c r="D11" s="215"/>
      <c r="E11" s="215"/>
      <c r="F11" s="221"/>
      <c r="G11" s="301"/>
      <c r="H11" s="215"/>
      <c r="I11" s="215"/>
      <c r="J11" s="215"/>
      <c r="K11" s="215"/>
      <c r="L11" s="50"/>
      <c r="M11" s="49"/>
      <c r="N11" s="49"/>
      <c r="O11" s="49"/>
    </row>
    <row r="12" spans="1:15" ht="18" customHeight="1">
      <c r="A12" s="157" t="s">
        <v>164</v>
      </c>
      <c r="B12" s="219"/>
      <c r="C12" s="215"/>
      <c r="D12" s="215"/>
      <c r="E12" s="215"/>
      <c r="F12" s="221"/>
      <c r="G12" s="301"/>
      <c r="H12" s="215"/>
      <c r="I12" s="215"/>
      <c r="J12" s="215"/>
      <c r="K12" s="215"/>
      <c r="L12" s="50"/>
      <c r="M12" s="49"/>
      <c r="N12" s="49"/>
      <c r="O12" s="49"/>
    </row>
    <row r="13" spans="1:15" ht="18" customHeight="1">
      <c r="A13" s="160" t="s">
        <v>165</v>
      </c>
      <c r="B13" s="220"/>
      <c r="C13" s="218"/>
      <c r="D13" s="218"/>
      <c r="E13" s="218"/>
      <c r="F13" s="222"/>
      <c r="G13" s="302"/>
      <c r="H13" s="218"/>
      <c r="I13" s="218"/>
      <c r="J13" s="218"/>
      <c r="K13" s="218"/>
      <c r="L13" s="50"/>
      <c r="M13" s="49"/>
      <c r="N13" s="49"/>
      <c r="O13" s="49"/>
    </row>
    <row r="14" spans="1:15" ht="18" customHeight="1">
      <c r="A14" s="157" t="s">
        <v>166</v>
      </c>
      <c r="B14" s="219"/>
      <c r="C14" s="215"/>
      <c r="D14" s="215"/>
      <c r="E14" s="215"/>
      <c r="F14" s="221"/>
      <c r="G14" s="301"/>
      <c r="H14" s="215"/>
      <c r="I14" s="215"/>
      <c r="J14" s="215"/>
      <c r="K14" s="215"/>
      <c r="L14" s="50"/>
      <c r="M14" s="49"/>
      <c r="N14" s="49"/>
      <c r="O14" s="49"/>
    </row>
    <row r="15" spans="1:15" ht="18" customHeight="1">
      <c r="A15" s="157" t="s">
        <v>167</v>
      </c>
      <c r="B15" s="219"/>
      <c r="C15" s="215"/>
      <c r="D15" s="215"/>
      <c r="E15" s="215"/>
      <c r="F15" s="221"/>
      <c r="G15" s="301"/>
      <c r="H15" s="215"/>
      <c r="I15" s="215"/>
      <c r="J15" s="215"/>
      <c r="K15" s="215"/>
      <c r="L15" s="50"/>
      <c r="M15" s="49"/>
      <c r="N15" s="49"/>
      <c r="O15" s="49"/>
    </row>
    <row r="16" spans="1:15" ht="18" customHeight="1">
      <c r="A16" s="160" t="s">
        <v>168</v>
      </c>
      <c r="B16" s="220"/>
      <c r="C16" s="218"/>
      <c r="D16" s="218"/>
      <c r="E16" s="218"/>
      <c r="F16" s="222"/>
      <c r="G16" s="302"/>
      <c r="H16" s="218"/>
      <c r="I16" s="218"/>
      <c r="J16" s="218"/>
      <c r="K16" s="218"/>
      <c r="L16" s="50"/>
      <c r="M16" s="49"/>
      <c r="N16" s="49"/>
      <c r="O16" s="49"/>
    </row>
    <row r="17" spans="1:11" ht="18" customHeight="1">
      <c r="A17" s="157" t="s">
        <v>47</v>
      </c>
      <c r="B17" s="219">
        <f>SUM(B5:B7)</f>
        <v>324956.15078993305</v>
      </c>
      <c r="C17" s="214">
        <f>SUM(C5:C7)</f>
        <v>2258466.0760156801</v>
      </c>
      <c r="D17" s="214">
        <f t="shared" ref="D17:J17" si="0">SUM(D5:D7)</f>
        <v>112148.504002</v>
      </c>
      <c r="E17" s="214">
        <f t="shared" si="0"/>
        <v>182682.46520200002</v>
      </c>
      <c r="F17" s="223">
        <f t="shared" si="0"/>
        <v>2878253.1960096126</v>
      </c>
      <c r="G17" s="219">
        <f t="shared" si="0"/>
        <v>3560363.4120618943</v>
      </c>
      <c r="H17" s="214">
        <f t="shared" si="0"/>
        <v>24708950.78678</v>
      </c>
      <c r="I17" s="214">
        <f t="shared" si="0"/>
        <v>1227681.5646470001</v>
      </c>
      <c r="J17" s="214">
        <f t="shared" si="0"/>
        <v>2004138.2859209997</v>
      </c>
      <c r="K17" s="214">
        <f>SUM(K5:K7)</f>
        <v>31501134.049409889</v>
      </c>
    </row>
    <row r="18" spans="1:11" ht="18" customHeight="1">
      <c r="A18" s="157" t="s">
        <v>55</v>
      </c>
      <c r="B18" s="378">
        <f>SUM(B8:B10)</f>
        <v>0</v>
      </c>
      <c r="C18" s="379">
        <f>SUM(C8:C10)</f>
        <v>0</v>
      </c>
      <c r="D18" s="379">
        <f t="shared" ref="D18:J18" si="1">SUM(D8:D10)</f>
        <v>0</v>
      </c>
      <c r="E18" s="379">
        <f t="shared" si="1"/>
        <v>0</v>
      </c>
      <c r="F18" s="380">
        <f t="shared" si="1"/>
        <v>0</v>
      </c>
      <c r="G18" s="378">
        <f t="shared" si="1"/>
        <v>0</v>
      </c>
      <c r="H18" s="379">
        <f t="shared" si="1"/>
        <v>0</v>
      </c>
      <c r="I18" s="379">
        <f t="shared" si="1"/>
        <v>0</v>
      </c>
      <c r="J18" s="379">
        <f t="shared" si="1"/>
        <v>0</v>
      </c>
      <c r="K18" s="379">
        <f>SUM(K8:K10)</f>
        <v>0</v>
      </c>
    </row>
    <row r="19" spans="1:11" ht="18" customHeight="1">
      <c r="A19" s="157" t="s">
        <v>62</v>
      </c>
      <c r="B19" s="378">
        <f>SUM(B11:B13)</f>
        <v>0</v>
      </c>
      <c r="C19" s="379">
        <f>SUM(C11:C13)</f>
        <v>0</v>
      </c>
      <c r="D19" s="379">
        <f t="shared" ref="D19:J19" si="2">SUM(D11:D13)</f>
        <v>0</v>
      </c>
      <c r="E19" s="379">
        <f t="shared" si="2"/>
        <v>0</v>
      </c>
      <c r="F19" s="380">
        <f t="shared" si="2"/>
        <v>0</v>
      </c>
      <c r="G19" s="378">
        <f t="shared" si="2"/>
        <v>0</v>
      </c>
      <c r="H19" s="379">
        <f t="shared" si="2"/>
        <v>0</v>
      </c>
      <c r="I19" s="379">
        <f t="shared" si="2"/>
        <v>0</v>
      </c>
      <c r="J19" s="379">
        <f t="shared" si="2"/>
        <v>0</v>
      </c>
      <c r="K19" s="379">
        <f>SUM(K11:K13)</f>
        <v>0</v>
      </c>
    </row>
    <row r="20" spans="1:11" ht="18" customHeight="1">
      <c r="A20" s="160" t="s">
        <v>56</v>
      </c>
      <c r="B20" s="381">
        <f>SUM(B14:B16)</f>
        <v>0</v>
      </c>
      <c r="C20" s="382">
        <f>SUM(C14:C16)</f>
        <v>0</v>
      </c>
      <c r="D20" s="382">
        <f t="shared" ref="D20:J20" si="3">SUM(D14:D16)</f>
        <v>0</v>
      </c>
      <c r="E20" s="382">
        <f t="shared" si="3"/>
        <v>0</v>
      </c>
      <c r="F20" s="383">
        <f t="shared" si="3"/>
        <v>0</v>
      </c>
      <c r="G20" s="381">
        <f t="shared" si="3"/>
        <v>0</v>
      </c>
      <c r="H20" s="382">
        <f t="shared" si="3"/>
        <v>0</v>
      </c>
      <c r="I20" s="382">
        <f t="shared" si="3"/>
        <v>0</v>
      </c>
      <c r="J20" s="382">
        <f t="shared" si="3"/>
        <v>0</v>
      </c>
      <c r="K20" s="382">
        <f>SUM(K14:K16)</f>
        <v>0</v>
      </c>
    </row>
    <row r="21" spans="1:11" ht="18" customHeight="1">
      <c r="A21" s="157" t="s">
        <v>57</v>
      </c>
      <c r="B21" s="378">
        <f>SUM(B5:B10)</f>
        <v>324956.15078993305</v>
      </c>
      <c r="C21" s="379">
        <f>SUM(C5:C10)</f>
        <v>2258466.0760156801</v>
      </c>
      <c r="D21" s="379">
        <f t="shared" ref="D21:J21" si="4">SUM(D5:D10)</f>
        <v>112148.504002</v>
      </c>
      <c r="E21" s="379">
        <f t="shared" si="4"/>
        <v>182682.46520200002</v>
      </c>
      <c r="F21" s="380">
        <f t="shared" si="4"/>
        <v>2878253.1960096126</v>
      </c>
      <c r="G21" s="378">
        <f t="shared" si="4"/>
        <v>3560363.4120618943</v>
      </c>
      <c r="H21" s="379">
        <f t="shared" si="4"/>
        <v>24708950.78678</v>
      </c>
      <c r="I21" s="379">
        <f t="shared" si="4"/>
        <v>1227681.5646470001</v>
      </c>
      <c r="J21" s="379">
        <f t="shared" si="4"/>
        <v>2004138.2859209997</v>
      </c>
      <c r="K21" s="379">
        <f>SUM(K5:K10)</f>
        <v>31501134.049409889</v>
      </c>
    </row>
    <row r="22" spans="1:11" ht="18" customHeight="1">
      <c r="A22" s="160" t="s">
        <v>58</v>
      </c>
      <c r="B22" s="381">
        <f>SUM(B11:B16)</f>
        <v>0</v>
      </c>
      <c r="C22" s="382">
        <f>SUM(C11:C16)</f>
        <v>0</v>
      </c>
      <c r="D22" s="382">
        <f t="shared" ref="D22:J22" si="5">SUM(D11:D16)</f>
        <v>0</v>
      </c>
      <c r="E22" s="382">
        <f t="shared" si="5"/>
        <v>0</v>
      </c>
      <c r="F22" s="383">
        <f t="shared" si="5"/>
        <v>0</v>
      </c>
      <c r="G22" s="381">
        <f t="shared" si="5"/>
        <v>0</v>
      </c>
      <c r="H22" s="382">
        <f t="shared" si="5"/>
        <v>0</v>
      </c>
      <c r="I22" s="382">
        <f t="shared" si="5"/>
        <v>0</v>
      </c>
      <c r="J22" s="382">
        <f t="shared" si="5"/>
        <v>0</v>
      </c>
      <c r="K22" s="382">
        <f>SUM(K11:K16)</f>
        <v>0</v>
      </c>
    </row>
    <row r="23" spans="1:11" ht="18" customHeight="1">
      <c r="A23" s="196" t="s">
        <v>169</v>
      </c>
      <c r="B23" s="384">
        <f>SUM(B5:B16)</f>
        <v>324956.15078993305</v>
      </c>
      <c r="C23" s="385">
        <f>SUM(C5:C16)</f>
        <v>2258466.0760156801</v>
      </c>
      <c r="D23" s="385">
        <f t="shared" ref="D23:J23" si="6">SUM(D5:D16)</f>
        <v>112148.504002</v>
      </c>
      <c r="E23" s="385">
        <f t="shared" si="6"/>
        <v>182682.46520200002</v>
      </c>
      <c r="F23" s="386">
        <f t="shared" si="6"/>
        <v>2878253.1960096126</v>
      </c>
      <c r="G23" s="384">
        <f t="shared" si="6"/>
        <v>3560363.4120618943</v>
      </c>
      <c r="H23" s="385">
        <f t="shared" si="6"/>
        <v>24708950.78678</v>
      </c>
      <c r="I23" s="385">
        <f t="shared" si="6"/>
        <v>1227681.5646470001</v>
      </c>
      <c r="J23" s="385">
        <f t="shared" si="6"/>
        <v>2004138.2859209997</v>
      </c>
      <c r="K23" s="385">
        <f>SUM(K5:K16)</f>
        <v>31501134.049409889</v>
      </c>
    </row>
    <row r="25" spans="1:11" ht="12" customHeight="1">
      <c r="A25" s="497" t="s">
        <v>264</v>
      </c>
      <c r="B25" s="497"/>
      <c r="C25" s="497"/>
      <c r="D25" s="497"/>
      <c r="E25" s="497"/>
      <c r="F25" s="497"/>
      <c r="G25" s="497"/>
      <c r="H25" s="497"/>
      <c r="I25" s="497"/>
      <c r="J25" s="497"/>
      <c r="K25" s="497"/>
    </row>
    <row r="26" spans="1:11" ht="12" customHeight="1">
      <c r="E26" s="55"/>
      <c r="F26" s="55"/>
      <c r="G26" s="55"/>
      <c r="H26" s="55"/>
    </row>
    <row r="27" spans="1:11" ht="12" customHeight="1">
      <c r="E27" s="55"/>
      <c r="F27" s="55"/>
      <c r="G27" s="55"/>
    </row>
    <row r="28" spans="1:11" ht="12" customHeight="1">
      <c r="E28" s="55"/>
      <c r="F28" s="55"/>
      <c r="G28" s="55"/>
    </row>
    <row r="29" spans="1:11" ht="12" customHeight="1">
      <c r="E29" s="55"/>
      <c r="F29" s="55"/>
      <c r="G29" s="55"/>
    </row>
    <row r="30" spans="1:11" ht="12" customHeight="1">
      <c r="E30" s="55" t="str">
        <f>B4</f>
        <v>PPD</v>
      </c>
      <c r="F30" s="55" t="str">
        <f t="shared" ref="F30:H30" si="7">C4</f>
        <v xml:space="preserve"> GasNet</v>
      </c>
      <c r="G30" s="55" t="str">
        <f t="shared" si="7"/>
        <v xml:space="preserve"> GasD</v>
      </c>
      <c r="H30" s="55" t="str">
        <f t="shared" si="7"/>
        <v xml:space="preserve"> Ostatní společnosti</v>
      </c>
    </row>
    <row r="31" spans="1:11" ht="12" customHeight="1">
      <c r="D31" s="4" t="str">
        <f>A17</f>
        <v>I. čtvrtletí</v>
      </c>
      <c r="E31" s="4">
        <f t="shared" ref="E31:H34" si="8">B17</f>
        <v>324956.15078993305</v>
      </c>
      <c r="F31" s="4">
        <f t="shared" si="8"/>
        <v>2258466.0760156801</v>
      </c>
      <c r="G31" s="4">
        <f t="shared" si="8"/>
        <v>112148.504002</v>
      </c>
      <c r="H31" s="4">
        <f t="shared" si="8"/>
        <v>182682.46520200002</v>
      </c>
    </row>
    <row r="32" spans="1:11" ht="12" customHeight="1">
      <c r="D32" s="4" t="str">
        <f t="shared" ref="D32:D34" si="9">A18</f>
        <v>II. čtvrtletí</v>
      </c>
      <c r="E32" s="4">
        <f t="shared" si="8"/>
        <v>0</v>
      </c>
      <c r="F32" s="4">
        <f t="shared" si="8"/>
        <v>0</v>
      </c>
      <c r="G32" s="4">
        <f t="shared" si="8"/>
        <v>0</v>
      </c>
      <c r="H32" s="4">
        <f t="shared" si="8"/>
        <v>0</v>
      </c>
    </row>
    <row r="33" spans="4:8" ht="12" customHeight="1">
      <c r="D33" s="4" t="str">
        <f t="shared" si="9"/>
        <v>III. čtvrtletí</v>
      </c>
      <c r="E33" s="4">
        <f t="shared" si="8"/>
        <v>0</v>
      </c>
      <c r="F33" s="4">
        <f t="shared" si="8"/>
        <v>0</v>
      </c>
      <c r="G33" s="4">
        <f t="shared" si="8"/>
        <v>0</v>
      </c>
      <c r="H33" s="4">
        <f t="shared" si="8"/>
        <v>0</v>
      </c>
    </row>
    <row r="34" spans="4:8" ht="12" customHeight="1">
      <c r="D34" s="4" t="str">
        <f t="shared" si="9"/>
        <v>IV. čtvrtletí</v>
      </c>
      <c r="E34" s="4">
        <f t="shared" si="8"/>
        <v>0</v>
      </c>
      <c r="F34" s="4">
        <f t="shared" si="8"/>
        <v>0</v>
      </c>
      <c r="G34" s="4">
        <f t="shared" si="8"/>
        <v>0</v>
      </c>
      <c r="H34" s="4">
        <f t="shared" si="8"/>
        <v>0</v>
      </c>
    </row>
    <row r="35" spans="4:8" ht="12" customHeight="1">
      <c r="E35" s="55"/>
      <c r="F35" s="55"/>
      <c r="G35" s="55"/>
    </row>
    <row r="36" spans="4:8" ht="12" customHeight="1">
      <c r="E36" s="55"/>
      <c r="F36" s="55"/>
      <c r="G36" s="55"/>
    </row>
    <row r="37" spans="4:8" ht="12" customHeight="1">
      <c r="E37" s="55"/>
      <c r="F37" s="55"/>
      <c r="G37" s="55"/>
    </row>
    <row r="38" spans="4:8" ht="12" customHeight="1"/>
    <row r="39" spans="4:8" ht="12" customHeight="1"/>
    <row r="40" spans="4:8" ht="12" customHeight="1"/>
    <row r="41" spans="4:8" ht="12" customHeight="1"/>
    <row r="42" spans="4:8" ht="12" customHeight="1"/>
  </sheetData>
  <mergeCells count="5">
    <mergeCell ref="A25:K25"/>
    <mergeCell ref="A1:K1"/>
    <mergeCell ref="A2:I2"/>
    <mergeCell ref="B3:F3"/>
    <mergeCell ref="G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7:K23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opLeftCell="A24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39" ht="20.25">
      <c r="A1" s="47" t="s">
        <v>276</v>
      </c>
    </row>
    <row r="2" spans="1:39" s="91" customFormat="1" ht="18">
      <c r="A2" s="485" t="s">
        <v>287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</row>
    <row r="3" spans="1:39" ht="6" customHeight="1">
      <c r="A3" s="502"/>
      <c r="B3" s="502"/>
      <c r="C3" s="502"/>
      <c r="D3" s="267"/>
      <c r="E3" s="267"/>
      <c r="F3" s="268"/>
      <c r="G3" s="269"/>
      <c r="H3" s="269"/>
      <c r="I3" s="269"/>
    </row>
    <row r="4" spans="1:39" ht="12.95" customHeight="1">
      <c r="A4" s="463" t="s">
        <v>34</v>
      </c>
      <c r="B4" s="463"/>
      <c r="C4" s="463"/>
      <c r="D4" s="457">
        <f>'3.1'!A4</f>
        <v>2026</v>
      </c>
      <c r="E4" s="320"/>
      <c r="F4" s="309"/>
      <c r="G4" s="309"/>
      <c r="H4" s="309"/>
      <c r="I4" s="457">
        <f>D4-1</f>
        <v>2025</v>
      </c>
      <c r="J4" s="458"/>
      <c r="K4" s="458"/>
    </row>
    <row r="5" spans="1:39" ht="24.95" customHeight="1">
      <c r="A5" s="131"/>
      <c r="B5" s="131"/>
      <c r="C5" s="131"/>
      <c r="D5" s="459"/>
      <c r="E5" s="321"/>
      <c r="F5" s="322"/>
      <c r="G5" s="322"/>
      <c r="H5" s="323"/>
      <c r="I5" s="459"/>
      <c r="J5" s="460"/>
      <c r="K5" s="460"/>
    </row>
    <row r="6" spans="1:39" ht="24.95" customHeight="1">
      <c r="A6" s="271"/>
      <c r="B6" s="250"/>
      <c r="C6" s="272"/>
      <c r="D6" s="330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39" ht="24.95" customHeight="1">
      <c r="A7" s="271"/>
      <c r="B7" s="273"/>
      <c r="D7" s="331"/>
      <c r="E7" s="455"/>
      <c r="F7" s="455"/>
      <c r="G7" s="456"/>
      <c r="H7" s="456"/>
      <c r="I7" s="453"/>
      <c r="J7" s="454"/>
      <c r="K7" s="456"/>
    </row>
    <row r="8" spans="1:39" ht="15" customHeight="1">
      <c r="A8" s="464" t="s">
        <v>155</v>
      </c>
      <c r="B8" s="464"/>
      <c r="C8" s="290" t="s">
        <v>180</v>
      </c>
      <c r="D8" s="310"/>
      <c r="E8" s="199" t="s">
        <v>247</v>
      </c>
      <c r="F8" s="199" t="s">
        <v>248</v>
      </c>
      <c r="G8" s="451"/>
      <c r="H8" s="451"/>
      <c r="I8" s="201" t="s">
        <v>247</v>
      </c>
      <c r="J8" s="199" t="s">
        <v>248</v>
      </c>
      <c r="K8" s="451"/>
    </row>
    <row r="9" spans="1:39" ht="11.1" customHeight="1">
      <c r="A9" s="418" t="str">
        <f>'3.1'!D5</f>
        <v>Leden</v>
      </c>
      <c r="B9" s="418"/>
      <c r="C9" s="145" t="s">
        <v>4</v>
      </c>
      <c r="D9" s="279">
        <v>76</v>
      </c>
      <c r="E9" s="275">
        <v>10730.968321</v>
      </c>
      <c r="F9" s="275">
        <v>117582.651713</v>
      </c>
      <c r="G9" s="276">
        <f>E9/$E$14</f>
        <v>0.24940966487136204</v>
      </c>
      <c r="H9" s="276">
        <f>(E9-I9)/I9</f>
        <v>0.13373580136326377</v>
      </c>
      <c r="I9" s="279">
        <v>9465.1402099999996</v>
      </c>
      <c r="J9" s="275">
        <v>103155.951375</v>
      </c>
      <c r="K9" s="276">
        <f>I9/$I$14</f>
        <v>0.25405217823870158</v>
      </c>
      <c r="N9" s="68"/>
      <c r="O9" s="68"/>
      <c r="P9" s="68"/>
      <c r="Q9" s="68"/>
      <c r="R9" s="68"/>
      <c r="S9" s="68"/>
      <c r="T9" s="68"/>
      <c r="U9" s="92"/>
      <c r="AF9" s="68"/>
      <c r="AG9" s="68"/>
      <c r="AH9" s="68"/>
      <c r="AI9" s="68"/>
      <c r="AJ9" s="68"/>
      <c r="AK9" s="68"/>
      <c r="AL9" s="68"/>
      <c r="AM9" s="68"/>
    </row>
    <row r="10" spans="1:39" ht="11.1" customHeight="1">
      <c r="A10" s="412"/>
      <c r="B10" s="412"/>
      <c r="C10" s="135" t="s">
        <v>5</v>
      </c>
      <c r="D10" s="280">
        <v>258</v>
      </c>
      <c r="E10" s="113">
        <v>5265.4392280000002</v>
      </c>
      <c r="F10" s="113">
        <v>57689.974205999999</v>
      </c>
      <c r="G10" s="274">
        <f>E10/$E$14</f>
        <v>0.1223795834608916</v>
      </c>
      <c r="H10" s="274">
        <f>(E10-I10)/I10</f>
        <v>6.858086119374765E-2</v>
      </c>
      <c r="I10" s="280">
        <v>4927.5065829999994</v>
      </c>
      <c r="J10" s="113">
        <v>53697.820778000001</v>
      </c>
      <c r="K10" s="274">
        <f>I10/$I$14</f>
        <v>0.13225834514042464</v>
      </c>
      <c r="L10" s="68"/>
      <c r="N10" s="68"/>
      <c r="O10" s="68"/>
      <c r="P10" s="68"/>
      <c r="Q10" s="68"/>
      <c r="R10" s="68"/>
      <c r="S10" s="68"/>
      <c r="T10" s="68"/>
      <c r="U10" s="92"/>
      <c r="AF10" s="68"/>
      <c r="AG10" s="68"/>
      <c r="AH10" s="68"/>
      <c r="AI10" s="68"/>
      <c r="AJ10" s="68"/>
      <c r="AK10" s="68"/>
      <c r="AL10" s="68"/>
    </row>
    <row r="11" spans="1:39" ht="11.1" customHeight="1">
      <c r="A11" s="412"/>
      <c r="B11" s="412"/>
      <c r="C11" s="135" t="s">
        <v>6</v>
      </c>
      <c r="D11" s="280">
        <v>9707</v>
      </c>
      <c r="E11" s="113">
        <v>10347.999651000002</v>
      </c>
      <c r="F11" s="113">
        <v>113374.693103</v>
      </c>
      <c r="G11" s="274">
        <f>E11/$E$14</f>
        <v>0.24050868922930274</v>
      </c>
      <c r="H11" s="274">
        <f t="shared" ref="H11:H13" si="0">(E11-I11)/I11</f>
        <v>0.18646138433289342</v>
      </c>
      <c r="I11" s="280">
        <v>8721.7332040000001</v>
      </c>
      <c r="J11" s="113">
        <v>95047.066164999997</v>
      </c>
      <c r="K11" s="274">
        <f>I11/$I$14</f>
        <v>0.23409852039508353</v>
      </c>
      <c r="L11" s="68"/>
      <c r="N11" s="68"/>
      <c r="O11" s="68"/>
      <c r="P11" s="68"/>
      <c r="Q11" s="68"/>
      <c r="R11" s="68"/>
      <c r="S11" s="68"/>
      <c r="T11" s="68"/>
      <c r="U11" s="92"/>
      <c r="AF11" s="68"/>
      <c r="AG11" s="68"/>
      <c r="AH11" s="68"/>
      <c r="AI11" s="68"/>
      <c r="AJ11" s="68"/>
      <c r="AK11" s="68"/>
      <c r="AL11" s="68"/>
    </row>
    <row r="12" spans="1:39" ht="11.1" customHeight="1">
      <c r="A12" s="412"/>
      <c r="B12" s="412"/>
      <c r="C12" s="135" t="s">
        <v>7</v>
      </c>
      <c r="D12" s="280">
        <v>91455</v>
      </c>
      <c r="E12" s="113">
        <v>16426.418871999998</v>
      </c>
      <c r="F12" s="113">
        <v>179958.47342200001</v>
      </c>
      <c r="G12" s="274">
        <f>E12/$E$14</f>
        <v>0.38178359150354407</v>
      </c>
      <c r="H12" s="274">
        <f t="shared" si="0"/>
        <v>0.18568982788485258</v>
      </c>
      <c r="I12" s="280">
        <v>13853.892043</v>
      </c>
      <c r="J12" s="113">
        <v>150977.165699</v>
      </c>
      <c r="K12" s="274">
        <f>I12/$I$14</f>
        <v>0.37184990106004634</v>
      </c>
      <c r="L12" s="68"/>
      <c r="N12" s="68"/>
      <c r="O12" s="68"/>
      <c r="P12" s="68"/>
      <c r="Q12" s="68"/>
      <c r="R12" s="68"/>
      <c r="S12" s="68"/>
      <c r="T12" s="68"/>
      <c r="U12" s="92"/>
      <c r="AF12" s="68"/>
      <c r="AG12" s="68"/>
      <c r="AH12" s="68"/>
      <c r="AI12" s="68"/>
      <c r="AJ12" s="68"/>
      <c r="AK12" s="68"/>
      <c r="AL12" s="68"/>
    </row>
    <row r="13" spans="1:39" ht="11.1" customHeight="1">
      <c r="A13" s="412"/>
      <c r="B13" s="412"/>
      <c r="C13" s="135" t="s">
        <v>90</v>
      </c>
      <c r="D13" s="280">
        <v>18</v>
      </c>
      <c r="E13" s="113">
        <v>254.64500000000001</v>
      </c>
      <c r="F13" s="113">
        <v>2789.88006</v>
      </c>
      <c r="G13" s="274">
        <f>E13/$E$14</f>
        <v>5.9184709348997049E-3</v>
      </c>
      <c r="H13" s="274">
        <f t="shared" si="0"/>
        <v>-0.11706067141460301</v>
      </c>
      <c r="I13" s="280">
        <v>288.40600000000001</v>
      </c>
      <c r="J13" s="113">
        <v>3143.5712830000002</v>
      </c>
      <c r="K13" s="274">
        <f>I13/$I$14</f>
        <v>7.7410551657439187E-3</v>
      </c>
      <c r="L13" s="68"/>
      <c r="N13" s="68"/>
      <c r="O13" s="68"/>
      <c r="P13" s="68"/>
      <c r="Q13" s="68"/>
      <c r="R13" s="68"/>
      <c r="S13" s="68"/>
      <c r="T13" s="68"/>
      <c r="U13" s="92"/>
      <c r="AF13" s="68"/>
      <c r="AG13" s="68"/>
      <c r="AH13" s="68"/>
      <c r="AI13" s="68"/>
      <c r="AJ13" s="68"/>
      <c r="AK13" s="68"/>
      <c r="AL13" s="68"/>
    </row>
    <row r="14" spans="1:39" ht="11.1" customHeight="1">
      <c r="A14" s="417"/>
      <c r="B14" s="417"/>
      <c r="C14" s="285" t="s">
        <v>0</v>
      </c>
      <c r="D14" s="288">
        <v>101514</v>
      </c>
      <c r="E14" s="286">
        <v>43025.471071999993</v>
      </c>
      <c r="F14" s="286">
        <v>471395.67250400002</v>
      </c>
      <c r="G14" s="287">
        <f>SUM(G9:G13)</f>
        <v>1</v>
      </c>
      <c r="H14" s="287">
        <f>(E14-I14)/I14</f>
        <v>0.15483916804945486</v>
      </c>
      <c r="I14" s="288">
        <v>37256.678039999999</v>
      </c>
      <c r="J14" s="286">
        <v>406021.57529999997</v>
      </c>
      <c r="K14" s="287">
        <f>SUM(K9:K13)</f>
        <v>1</v>
      </c>
      <c r="L14" s="68"/>
      <c r="M14" s="68"/>
      <c r="N14" s="68"/>
      <c r="O14" s="68"/>
      <c r="P14" s="68"/>
      <c r="Q14" s="68"/>
      <c r="R14" s="68"/>
      <c r="S14" s="68"/>
      <c r="T14" s="68"/>
      <c r="U14" s="92"/>
      <c r="AF14" s="68"/>
      <c r="AG14" s="68"/>
      <c r="AH14" s="68"/>
      <c r="AI14" s="68"/>
      <c r="AJ14" s="68"/>
      <c r="AK14" s="68"/>
      <c r="AL14" s="68"/>
    </row>
    <row r="15" spans="1:39" ht="11.1" customHeight="1">
      <c r="A15" s="418" t="str">
        <f>'3.1'!E5</f>
        <v>Únor</v>
      </c>
      <c r="B15" s="418"/>
      <c r="C15" s="145" t="s">
        <v>4</v>
      </c>
      <c r="D15" s="279">
        <v>76</v>
      </c>
      <c r="E15" s="275">
        <v>9574.7965490000006</v>
      </c>
      <c r="F15" s="275">
        <v>104605.057289</v>
      </c>
      <c r="G15" s="276">
        <f>E15/$E$20</f>
        <v>0.29707415762674017</v>
      </c>
      <c r="H15" s="276">
        <f>(E15-I15)/I15</f>
        <v>0.10077487751484648</v>
      </c>
      <c r="I15" s="279">
        <v>8698.2331670000003</v>
      </c>
      <c r="J15" s="275">
        <v>94587.646856000007</v>
      </c>
      <c r="K15" s="276">
        <f>I15/$I$20</f>
        <v>0.25714824370469608</v>
      </c>
      <c r="L15" s="68"/>
      <c r="M15" s="68"/>
      <c r="N15" s="68"/>
      <c r="O15" s="68"/>
      <c r="P15" s="68"/>
      <c r="Q15" s="68"/>
      <c r="R15" s="68"/>
      <c r="S15" s="68"/>
      <c r="T15" s="68"/>
      <c r="U15" s="92"/>
      <c r="AF15" s="68"/>
      <c r="AG15" s="68"/>
      <c r="AH15" s="68"/>
      <c r="AI15" s="68"/>
      <c r="AJ15" s="68"/>
      <c r="AK15" s="68"/>
      <c r="AL15" s="68"/>
    </row>
    <row r="16" spans="1:39" ht="11.1" customHeight="1">
      <c r="A16" s="412"/>
      <c r="B16" s="412"/>
      <c r="C16" s="135" t="s">
        <v>5</v>
      </c>
      <c r="D16" s="280">
        <v>258</v>
      </c>
      <c r="E16" s="113">
        <v>3957.017445</v>
      </c>
      <c r="F16" s="113">
        <v>43206.430063</v>
      </c>
      <c r="G16" s="274">
        <f>E16/$E$20</f>
        <v>0.12277311775470193</v>
      </c>
      <c r="H16" s="274">
        <f>(E16-I16)/I16</f>
        <v>-0.16384467513698864</v>
      </c>
      <c r="I16" s="280">
        <v>4732.3951989999996</v>
      </c>
      <c r="J16" s="113">
        <v>51458.130578000004</v>
      </c>
      <c r="K16" s="274">
        <f>I16/$I$20</f>
        <v>0.13990509228428755</v>
      </c>
      <c r="L16" s="86"/>
      <c r="M16" s="68"/>
      <c r="N16" s="68"/>
      <c r="O16" s="68"/>
      <c r="P16" s="68"/>
      <c r="Q16" s="68"/>
      <c r="R16" s="68"/>
      <c r="S16" s="68"/>
      <c r="T16" s="68"/>
      <c r="U16" s="92"/>
      <c r="AF16" s="68"/>
      <c r="AG16" s="68"/>
      <c r="AH16" s="68"/>
      <c r="AI16" s="68"/>
      <c r="AJ16" s="68"/>
      <c r="AK16" s="68"/>
      <c r="AL16" s="68"/>
    </row>
    <row r="17" spans="1:38" ht="11.1" customHeight="1">
      <c r="A17" s="412"/>
      <c r="B17" s="412"/>
      <c r="C17" s="135" t="s">
        <v>6</v>
      </c>
      <c r="D17" s="280">
        <v>9702</v>
      </c>
      <c r="E17" s="113">
        <v>7142.1196810000001</v>
      </c>
      <c r="F17" s="113">
        <v>77983.027630000011</v>
      </c>
      <c r="G17" s="274">
        <f>E17/$E$20</f>
        <v>0.22159626860416512</v>
      </c>
      <c r="H17" s="274">
        <f t="shared" ref="H17:H20" si="1">(E17-I17)/I17</f>
        <v>-8.2620601833850921E-2</v>
      </c>
      <c r="I17" s="280">
        <v>7785.3499820000006</v>
      </c>
      <c r="J17" s="113">
        <v>84654.696595000001</v>
      </c>
      <c r="K17" s="274">
        <f>I17/$I$20</f>
        <v>0.23016042868257217</v>
      </c>
      <c r="L17" s="68"/>
      <c r="M17" s="68"/>
      <c r="N17" s="68"/>
      <c r="O17" s="68"/>
      <c r="P17" s="68"/>
      <c r="Q17" s="68"/>
      <c r="R17" s="68"/>
      <c r="S17" s="68"/>
      <c r="T17" s="68"/>
      <c r="U17" s="92"/>
      <c r="AF17" s="68"/>
      <c r="AG17" s="68"/>
      <c r="AH17" s="68"/>
      <c r="AI17" s="68"/>
      <c r="AJ17" s="68"/>
      <c r="AK17" s="68"/>
      <c r="AL17" s="68"/>
    </row>
    <row r="18" spans="1:38" ht="11.1" customHeight="1">
      <c r="A18" s="412"/>
      <c r="B18" s="412"/>
      <c r="C18" s="135" t="s">
        <v>7</v>
      </c>
      <c r="D18" s="280">
        <v>91386</v>
      </c>
      <c r="E18" s="113">
        <v>11324.713987000001</v>
      </c>
      <c r="F18" s="113">
        <v>123671.46157699999</v>
      </c>
      <c r="G18" s="274">
        <f>E18/$E$20</f>
        <v>0.35136828765339728</v>
      </c>
      <c r="H18" s="274">
        <f t="shared" si="1"/>
        <v>-8.3780751555557351E-2</v>
      </c>
      <c r="I18" s="280">
        <v>12360.266395000001</v>
      </c>
      <c r="J18" s="113">
        <v>134403.143958</v>
      </c>
      <c r="K18" s="274">
        <f>I18/$I$20</f>
        <v>0.36540993258894844</v>
      </c>
      <c r="L18" s="68"/>
      <c r="M18" s="68"/>
      <c r="N18" s="68"/>
      <c r="O18" s="68"/>
      <c r="P18" s="68"/>
      <c r="Q18" s="68"/>
      <c r="R18" s="68"/>
      <c r="S18" s="68"/>
      <c r="T18" s="68"/>
      <c r="U18" s="92"/>
      <c r="AF18" s="68"/>
      <c r="AG18" s="68"/>
      <c r="AH18" s="68"/>
      <c r="AI18" s="68"/>
      <c r="AJ18" s="68"/>
      <c r="AK18" s="68"/>
      <c r="AL18" s="68"/>
    </row>
    <row r="19" spans="1:38" ht="11.1" customHeight="1">
      <c r="A19" s="412"/>
      <c r="B19" s="412"/>
      <c r="C19" s="135" t="s">
        <v>90</v>
      </c>
      <c r="D19" s="280">
        <v>18</v>
      </c>
      <c r="E19" s="113">
        <v>231.67699999999999</v>
      </c>
      <c r="F19" s="113">
        <v>2529.6068599999999</v>
      </c>
      <c r="G19" s="274">
        <f>E19/$E$20</f>
        <v>7.1881683609954566E-3</v>
      </c>
      <c r="H19" s="274">
        <f t="shared" si="1"/>
        <v>-7.1468363866634049E-2</v>
      </c>
      <c r="I19" s="280">
        <v>249.50899999999999</v>
      </c>
      <c r="J19" s="113">
        <v>2713.4294450000002</v>
      </c>
      <c r="K19" s="274">
        <f>I19/$I$20</f>
        <v>7.3763027394957636E-3</v>
      </c>
      <c r="L19" s="68"/>
      <c r="M19" s="68"/>
      <c r="N19" s="68"/>
      <c r="O19" s="68"/>
      <c r="P19" s="68"/>
      <c r="Q19" s="68"/>
      <c r="R19" s="68"/>
      <c r="S19" s="68"/>
      <c r="T19" s="68"/>
      <c r="U19" s="92"/>
      <c r="AF19" s="68"/>
      <c r="AG19" s="68"/>
      <c r="AH19" s="68"/>
      <c r="AI19" s="68"/>
      <c r="AJ19" s="68"/>
      <c r="AK19" s="68"/>
      <c r="AL19" s="68"/>
    </row>
    <row r="20" spans="1:38" ht="11.1" customHeight="1">
      <c r="A20" s="417"/>
      <c r="B20" s="417"/>
      <c r="C20" s="285" t="s">
        <v>0</v>
      </c>
      <c r="D20" s="288">
        <v>101440</v>
      </c>
      <c r="E20" s="286">
        <v>32230.324662000003</v>
      </c>
      <c r="F20" s="286">
        <v>351995.58341899997</v>
      </c>
      <c r="G20" s="287">
        <f>SUM(G15:G19)</f>
        <v>0.99999999999999989</v>
      </c>
      <c r="H20" s="287">
        <f t="shared" si="1"/>
        <v>-4.7166105835266453E-2</v>
      </c>
      <c r="I20" s="288">
        <v>33825.753743000001</v>
      </c>
      <c r="J20" s="286">
        <v>367817.04743200005</v>
      </c>
      <c r="K20" s="287">
        <f>SUM(K15:K19)</f>
        <v>1</v>
      </c>
      <c r="L20" s="68"/>
      <c r="M20" s="68"/>
      <c r="N20" s="68"/>
      <c r="O20" s="68"/>
      <c r="P20" s="68"/>
      <c r="Q20" s="68"/>
      <c r="R20" s="68"/>
      <c r="S20" s="68"/>
      <c r="T20" s="68"/>
      <c r="U20" s="92"/>
      <c r="AF20" s="68"/>
      <c r="AG20" s="68"/>
      <c r="AH20" s="68"/>
      <c r="AI20" s="68"/>
      <c r="AJ20" s="68"/>
      <c r="AK20" s="68"/>
      <c r="AL20" s="68"/>
    </row>
    <row r="21" spans="1:38" ht="11.1" customHeight="1">
      <c r="A21" s="418" t="str">
        <f>'3.1'!F5</f>
        <v>Březen</v>
      </c>
      <c r="B21" s="418"/>
      <c r="C21" s="145" t="s">
        <v>4</v>
      </c>
      <c r="D21" s="279">
        <v>77</v>
      </c>
      <c r="E21" s="275">
        <v>8192.5918700000002</v>
      </c>
      <c r="F21" s="275">
        <v>89819.435490000003</v>
      </c>
      <c r="G21" s="276">
        <f>E21/$E$26</f>
        <v>0.31229539437146353</v>
      </c>
      <c r="H21" s="276">
        <f>(E21-I21)/I21</f>
        <v>-4.5246354824323674E-2</v>
      </c>
      <c r="I21" s="279">
        <v>8580.8437720000002</v>
      </c>
      <c r="J21" s="275">
        <v>94023.845694999996</v>
      </c>
      <c r="K21" s="276">
        <f>I21/$I$26</f>
        <v>0.31652073290415123</v>
      </c>
      <c r="L21" s="78"/>
      <c r="M21" s="78"/>
      <c r="N21" s="68"/>
      <c r="O21" s="68"/>
      <c r="P21" s="68"/>
      <c r="Q21" s="68"/>
      <c r="R21" s="68"/>
      <c r="S21" s="68"/>
      <c r="T21" s="68"/>
      <c r="U21" s="92"/>
      <c r="AF21" s="68"/>
      <c r="AG21" s="68"/>
      <c r="AH21" s="68"/>
      <c r="AI21" s="68"/>
      <c r="AJ21" s="68"/>
      <c r="AK21" s="68"/>
      <c r="AL21" s="68"/>
    </row>
    <row r="22" spans="1:38" ht="11.1" customHeight="1">
      <c r="A22" s="412"/>
      <c r="B22" s="412"/>
      <c r="C22" s="135" t="s">
        <v>5</v>
      </c>
      <c r="D22" s="280">
        <v>241</v>
      </c>
      <c r="E22" s="113">
        <v>3257.7944739999998</v>
      </c>
      <c r="F22" s="113">
        <v>35719.872657</v>
      </c>
      <c r="G22" s="274">
        <f>E22/$E$26</f>
        <v>0.12418465684401346</v>
      </c>
      <c r="H22" s="274">
        <f t="shared" ref="H22:H26" si="2">(E22-I22)/I22</f>
        <v>-0.12058085922275548</v>
      </c>
      <c r="I22" s="280">
        <v>3704.4843839999999</v>
      </c>
      <c r="J22" s="113">
        <v>40583.770457999999</v>
      </c>
      <c r="K22" s="274">
        <f>I22/$I$26</f>
        <v>0.13664694794721444</v>
      </c>
      <c r="L22" s="78"/>
      <c r="M22" s="78"/>
      <c r="N22" s="68"/>
      <c r="O22" s="68"/>
      <c r="P22" s="68"/>
      <c r="Q22" s="68"/>
      <c r="R22" s="68"/>
      <c r="S22" s="68"/>
      <c r="T22" s="68"/>
      <c r="U22" s="92"/>
      <c r="AF22" s="68"/>
      <c r="AG22" s="68"/>
      <c r="AH22" s="68"/>
      <c r="AI22" s="68"/>
      <c r="AJ22" s="68"/>
      <c r="AK22" s="68"/>
      <c r="AL22" s="68"/>
    </row>
    <row r="23" spans="1:38" ht="11.1" customHeight="1">
      <c r="A23" s="412"/>
      <c r="B23" s="412"/>
      <c r="C23" s="135" t="s">
        <v>6</v>
      </c>
      <c r="D23" s="280">
        <v>9712</v>
      </c>
      <c r="E23" s="113">
        <v>5616.18804</v>
      </c>
      <c r="F23" s="113">
        <v>61573.473811999997</v>
      </c>
      <c r="G23" s="274">
        <f>E23/$E$26</f>
        <v>0.21408483257156283</v>
      </c>
      <c r="H23" s="274">
        <f t="shared" si="2"/>
        <v>-1.8875499675466046E-3</v>
      </c>
      <c r="I23" s="280">
        <v>5626.8089229999996</v>
      </c>
      <c r="J23" s="113">
        <v>61643.741208000007</v>
      </c>
      <c r="K23" s="274">
        <f>I23/$I$26</f>
        <v>0.20755554250167482</v>
      </c>
      <c r="L23" s="78"/>
      <c r="M23" s="78"/>
      <c r="N23" s="68"/>
      <c r="O23" s="68"/>
      <c r="P23" s="68"/>
      <c r="Q23" s="68"/>
      <c r="R23" s="68"/>
      <c r="S23" s="68"/>
      <c r="T23" s="68"/>
      <c r="U23" s="92"/>
      <c r="AF23" s="68"/>
      <c r="AG23" s="68"/>
      <c r="AH23" s="68"/>
      <c r="AI23" s="68"/>
      <c r="AJ23" s="68"/>
      <c r="AK23" s="68"/>
      <c r="AL23" s="68"/>
    </row>
    <row r="24" spans="1:38" ht="11.1" customHeight="1">
      <c r="A24" s="412"/>
      <c r="B24" s="412"/>
      <c r="C24" s="135" t="s">
        <v>7</v>
      </c>
      <c r="D24" s="280">
        <v>91302</v>
      </c>
      <c r="E24" s="113">
        <v>8902.8556499999995</v>
      </c>
      <c r="F24" s="113">
        <v>97626.538325999994</v>
      </c>
      <c r="G24" s="274">
        <f>E24/$E$26</f>
        <v>0.33937011148206531</v>
      </c>
      <c r="H24" s="274">
        <f t="shared" si="2"/>
        <v>-2.967524282163736E-3</v>
      </c>
      <c r="I24" s="280">
        <v>8929.3537239999987</v>
      </c>
      <c r="J24" s="113">
        <v>97827.219119000001</v>
      </c>
      <c r="K24" s="274">
        <f>I24/$I$26</f>
        <v>0.32937618492757376</v>
      </c>
      <c r="L24" s="78"/>
      <c r="M24" s="78"/>
      <c r="N24" s="68"/>
      <c r="O24" s="68"/>
      <c r="P24" s="68"/>
      <c r="Q24" s="68"/>
      <c r="R24" s="68"/>
      <c r="S24" s="68"/>
      <c r="T24" s="68"/>
      <c r="U24" s="92"/>
      <c r="AF24" s="68"/>
      <c r="AG24" s="68"/>
      <c r="AH24" s="68"/>
      <c r="AI24" s="68"/>
      <c r="AJ24" s="68"/>
      <c r="AK24" s="68"/>
      <c r="AL24" s="68"/>
    </row>
    <row r="25" spans="1:38" ht="11.1" customHeight="1">
      <c r="A25" s="412"/>
      <c r="B25" s="412"/>
      <c r="C25" s="135" t="s">
        <v>90</v>
      </c>
      <c r="D25" s="280">
        <v>18</v>
      </c>
      <c r="E25" s="113">
        <v>264.04000000000002</v>
      </c>
      <c r="F25" s="113">
        <v>2895.1137410000001</v>
      </c>
      <c r="G25" s="274">
        <f>E25/$E$26</f>
        <v>1.0065004730894916E-2</v>
      </c>
      <c r="H25" s="274">
        <f t="shared" si="2"/>
        <v>-1.6259072144975396E-2</v>
      </c>
      <c r="I25" s="280">
        <v>268.404</v>
      </c>
      <c r="J25" s="113">
        <v>2942.159995</v>
      </c>
      <c r="K25" s="274">
        <f>I25/$I$26</f>
        <v>9.9005917193857283E-3</v>
      </c>
      <c r="L25" s="78"/>
      <c r="M25" s="78"/>
      <c r="N25" s="68"/>
      <c r="O25" s="68"/>
      <c r="P25" s="68"/>
      <c r="Q25" s="68"/>
      <c r="R25" s="68"/>
      <c r="S25" s="68"/>
      <c r="T25" s="68"/>
      <c r="U25" s="92"/>
      <c r="AF25" s="68"/>
      <c r="AG25" s="68"/>
      <c r="AH25" s="68"/>
      <c r="AI25" s="68"/>
      <c r="AJ25" s="68"/>
      <c r="AK25" s="68"/>
      <c r="AL25" s="68"/>
    </row>
    <row r="26" spans="1:38" ht="11.1" customHeight="1">
      <c r="A26" s="417"/>
      <c r="B26" s="417"/>
      <c r="C26" s="285" t="s">
        <v>0</v>
      </c>
      <c r="D26" s="288">
        <v>101350</v>
      </c>
      <c r="E26" s="286">
        <v>26233.470033999998</v>
      </c>
      <c r="F26" s="286">
        <v>287634.43402599997</v>
      </c>
      <c r="G26" s="287">
        <f>SUM(G21:G25)</f>
        <v>1</v>
      </c>
      <c r="H26" s="287">
        <f t="shared" si="2"/>
        <v>-3.2328593503174172E-2</v>
      </c>
      <c r="I26" s="288">
        <v>27109.894802999999</v>
      </c>
      <c r="J26" s="286">
        <v>297020.73647499998</v>
      </c>
      <c r="K26" s="287">
        <f>SUM(K21:K25)</f>
        <v>1</v>
      </c>
      <c r="N26" s="68"/>
      <c r="O26" s="68"/>
      <c r="P26" s="68"/>
      <c r="Q26" s="68"/>
      <c r="R26" s="68"/>
      <c r="S26" s="68"/>
      <c r="T26" s="68"/>
      <c r="U26" s="92"/>
      <c r="AF26" s="68"/>
      <c r="AG26" s="68"/>
      <c r="AH26" s="68"/>
      <c r="AI26" s="68"/>
      <c r="AJ26" s="68"/>
      <c r="AK26" s="68"/>
      <c r="AL26" s="68"/>
    </row>
    <row r="27" spans="1:38" ht="11.1" customHeight="1">
      <c r="A27" s="476" t="str">
        <f>'3.1'!G5</f>
        <v>I. čtvrtletí</v>
      </c>
      <c r="B27" s="418"/>
      <c r="C27" s="145" t="s">
        <v>4</v>
      </c>
      <c r="D27" s="279">
        <f>D21</f>
        <v>77</v>
      </c>
      <c r="E27" s="275">
        <f>E9+E15+E21</f>
        <v>28498.356739999999</v>
      </c>
      <c r="F27" s="275">
        <f>F9+F15+F21</f>
        <v>312007.14449199999</v>
      </c>
      <c r="G27" s="276">
        <f>E27/$E$32</f>
        <v>0.28080168404357159</v>
      </c>
      <c r="H27" s="276">
        <f>(E27-I27)/I27</f>
        <v>6.5589491037526537E-2</v>
      </c>
      <c r="I27" s="279">
        <f>I9+I15+I21</f>
        <v>26744.217149</v>
      </c>
      <c r="J27" s="275">
        <f>J9+J15+J21</f>
        <v>291767.44392600004</v>
      </c>
      <c r="K27" s="276">
        <f>I27/$I$32</f>
        <v>0.27236565298793031</v>
      </c>
      <c r="N27" s="68"/>
      <c r="O27" s="68"/>
      <c r="P27" s="68"/>
      <c r="Q27" s="68"/>
      <c r="R27" s="68"/>
      <c r="S27" s="68"/>
      <c r="T27" s="68"/>
      <c r="U27" s="92"/>
      <c r="AF27" s="68"/>
      <c r="AG27" s="68"/>
      <c r="AH27" s="68"/>
      <c r="AI27" s="68"/>
      <c r="AJ27" s="68"/>
      <c r="AK27" s="68"/>
      <c r="AL27" s="68"/>
    </row>
    <row r="28" spans="1:38" ht="11.1" customHeight="1">
      <c r="A28" s="412"/>
      <c r="B28" s="412"/>
      <c r="C28" s="135" t="s">
        <v>5</v>
      </c>
      <c r="D28" s="280">
        <f>D22</f>
        <v>241</v>
      </c>
      <c r="E28" s="113">
        <f t="shared" ref="E28:F28" si="3">E10+E16+E22</f>
        <v>12480.251147000001</v>
      </c>
      <c r="F28" s="113">
        <f t="shared" si="3"/>
        <v>136616.27692599999</v>
      </c>
      <c r="G28" s="274">
        <f>E28/$E$32</f>
        <v>0.12297114431322528</v>
      </c>
      <c r="H28" s="274">
        <f t="shared" ref="H28:H31" si="4">(E28-I28)/I28</f>
        <v>-6.6156051465296878E-2</v>
      </c>
      <c r="I28" s="280">
        <f t="shared" ref="I28:J28" si="5">I10+I16+I22</f>
        <v>13364.386165999998</v>
      </c>
      <c r="J28" s="113">
        <f t="shared" si="5"/>
        <v>145739.72181399999</v>
      </c>
      <c r="K28" s="274">
        <f>I28/$I$32</f>
        <v>0.13610418075077424</v>
      </c>
      <c r="N28" s="68"/>
      <c r="O28" s="68"/>
      <c r="P28" s="68"/>
      <c r="Q28" s="68"/>
      <c r="R28" s="68"/>
      <c r="S28" s="68"/>
      <c r="T28" s="68"/>
      <c r="U28" s="92"/>
      <c r="AF28" s="68"/>
      <c r="AG28" s="68"/>
      <c r="AH28" s="68"/>
      <c r="AI28" s="68"/>
      <c r="AJ28" s="68"/>
      <c r="AK28" s="68"/>
      <c r="AL28" s="68"/>
    </row>
    <row r="29" spans="1:38" ht="11.1" customHeight="1">
      <c r="A29" s="412"/>
      <c r="B29" s="412"/>
      <c r="C29" s="135" t="s">
        <v>6</v>
      </c>
      <c r="D29" s="280">
        <f>D23</f>
        <v>9712</v>
      </c>
      <c r="E29" s="113">
        <f t="shared" ref="E29:F29" si="6">E11+E17+E23</f>
        <v>23106.307372000003</v>
      </c>
      <c r="F29" s="113">
        <f t="shared" si="6"/>
        <v>252931.19454500003</v>
      </c>
      <c r="G29" s="274">
        <f>E29/$E$32</f>
        <v>0.22767242621323136</v>
      </c>
      <c r="H29" s="274">
        <f t="shared" si="4"/>
        <v>4.39333153975483E-2</v>
      </c>
      <c r="I29" s="280">
        <f t="shared" ref="I29:J29" si="7">I11+I17+I23</f>
        <v>22133.892109</v>
      </c>
      <c r="J29" s="113">
        <f t="shared" si="7"/>
        <v>241345.503968</v>
      </c>
      <c r="K29" s="274">
        <f>I29/$I$32</f>
        <v>0.22541366396501897</v>
      </c>
      <c r="N29" s="68"/>
      <c r="O29" s="68"/>
      <c r="P29" s="68"/>
      <c r="Q29" s="68"/>
      <c r="R29" s="68"/>
      <c r="S29" s="68"/>
      <c r="T29" s="68"/>
      <c r="U29" s="92"/>
      <c r="AF29" s="68"/>
      <c r="AG29" s="68"/>
      <c r="AH29" s="68"/>
      <c r="AI29" s="68"/>
      <c r="AJ29" s="68"/>
      <c r="AK29" s="68"/>
      <c r="AL29" s="68"/>
    </row>
    <row r="30" spans="1:38" ht="11.1" customHeight="1">
      <c r="A30" s="412"/>
      <c r="B30" s="412"/>
      <c r="C30" s="135" t="s">
        <v>7</v>
      </c>
      <c r="D30" s="280">
        <f>D24</f>
        <v>91302</v>
      </c>
      <c r="E30" s="113">
        <f t="shared" ref="E30:F31" si="8">E12+E18+E24</f>
        <v>36653.988508999995</v>
      </c>
      <c r="F30" s="113">
        <f t="shared" si="8"/>
        <v>401256.47332499997</v>
      </c>
      <c r="G30" s="274">
        <f>E30/$E$32</f>
        <v>0.3611612344579318</v>
      </c>
      <c r="H30" s="274">
        <f t="shared" si="4"/>
        <v>4.2980233166144535E-2</v>
      </c>
      <c r="I30" s="280">
        <f t="shared" ref="I30:J30" si="9">I12+I18+I24</f>
        <v>35143.512161999999</v>
      </c>
      <c r="J30" s="113">
        <f t="shared" si="9"/>
        <v>383207.52877600002</v>
      </c>
      <c r="K30" s="274">
        <f>I30/$I$32</f>
        <v>0.35790487285399214</v>
      </c>
      <c r="N30" s="68"/>
      <c r="O30" s="68"/>
      <c r="P30" s="68"/>
      <c r="Q30" s="68"/>
      <c r="R30" s="68"/>
      <c r="S30" s="68"/>
      <c r="T30" s="68"/>
      <c r="U30" s="92"/>
      <c r="AF30" s="68"/>
      <c r="AG30" s="68"/>
      <c r="AH30" s="68"/>
      <c r="AI30" s="68"/>
      <c r="AJ30" s="68"/>
      <c r="AK30" s="68"/>
      <c r="AL30" s="68"/>
    </row>
    <row r="31" spans="1:38" ht="11.1" customHeight="1">
      <c r="A31" s="412"/>
      <c r="B31" s="412"/>
      <c r="C31" s="135" t="s">
        <v>90</v>
      </c>
      <c r="D31" s="280">
        <f>D25</f>
        <v>18</v>
      </c>
      <c r="E31" s="113">
        <f>E13+E19+E25</f>
        <v>750.36200000000008</v>
      </c>
      <c r="F31" s="113">
        <f t="shared" si="8"/>
        <v>8214.6006610000004</v>
      </c>
      <c r="G31" s="274">
        <f>E31/$E$32</f>
        <v>7.3935109720400854E-3</v>
      </c>
      <c r="H31" s="274">
        <f t="shared" si="4"/>
        <v>-6.9398091822219093E-2</v>
      </c>
      <c r="I31" s="280">
        <f>I13+I19+I25</f>
        <v>806.31899999999996</v>
      </c>
      <c r="J31" s="113">
        <f t="shared" ref="J31" si="10">J13+J19+J25</f>
        <v>8799.1607230000009</v>
      </c>
      <c r="K31" s="274">
        <f>I31/$I$32</f>
        <v>8.2116294422843704E-3</v>
      </c>
      <c r="N31" s="68"/>
      <c r="O31" s="68"/>
      <c r="P31" s="68"/>
      <c r="Q31" s="68"/>
      <c r="R31" s="68"/>
      <c r="S31" s="68"/>
      <c r="T31" s="68"/>
      <c r="U31" s="92"/>
      <c r="AF31" s="68"/>
      <c r="AG31" s="68"/>
      <c r="AH31" s="68"/>
      <c r="AI31" s="68"/>
      <c r="AJ31" s="68"/>
      <c r="AK31" s="68"/>
      <c r="AL31" s="68"/>
    </row>
    <row r="32" spans="1:38" ht="11.1" customHeight="1">
      <c r="A32" s="417"/>
      <c r="B32" s="417"/>
      <c r="C32" s="285" t="s">
        <v>0</v>
      </c>
      <c r="D32" s="288">
        <f>SUM(D27:D31)</f>
        <v>101350</v>
      </c>
      <c r="E32" s="286">
        <f>SUM(E27:E31)</f>
        <v>101489.26576799998</v>
      </c>
      <c r="F32" s="286">
        <f>SUM(F27:F31)</f>
        <v>1111025.689949</v>
      </c>
      <c r="G32" s="287">
        <f>SUM(G27:G31)</f>
        <v>1</v>
      </c>
      <c r="H32" s="287">
        <f>(E32-I32)/I32</f>
        <v>3.3576342435601848E-2</v>
      </c>
      <c r="I32" s="288">
        <f>SUM(I27:I31)</f>
        <v>98192.326585999996</v>
      </c>
      <c r="J32" s="286">
        <f>SUM(J27:J31)</f>
        <v>1070859.3592070001</v>
      </c>
      <c r="K32" s="287">
        <f>SUM(K27:K31)</f>
        <v>1</v>
      </c>
      <c r="N32" s="68"/>
      <c r="O32" s="68"/>
      <c r="P32" s="68"/>
      <c r="Q32" s="68"/>
      <c r="R32" s="68"/>
      <c r="S32" s="68"/>
      <c r="T32" s="68"/>
      <c r="U32" s="92"/>
      <c r="AF32" s="68"/>
      <c r="AG32" s="68"/>
      <c r="AH32" s="68"/>
      <c r="AI32" s="68"/>
      <c r="AJ32" s="68"/>
      <c r="AK32" s="68"/>
      <c r="AL32" s="68"/>
    </row>
    <row r="33" spans="1:11" ht="9.9499999999999993" customHeight="1">
      <c r="A33" s="324"/>
      <c r="B33" s="325"/>
      <c r="C33" s="326"/>
      <c r="D33" s="327"/>
      <c r="E33" s="327"/>
      <c r="F33" s="327"/>
      <c r="G33" s="328"/>
      <c r="H33" s="329"/>
      <c r="I33" s="327"/>
      <c r="J33" s="327"/>
      <c r="K33" s="328"/>
    </row>
    <row r="34" spans="1:11" ht="12.95" customHeight="1">
      <c r="A34" s="501" t="s">
        <v>35</v>
      </c>
      <c r="B34" s="501"/>
      <c r="C34" s="501"/>
      <c r="D34" s="457">
        <f>D4</f>
        <v>2026</v>
      </c>
      <c r="E34" s="320"/>
      <c r="F34" s="309"/>
      <c r="G34" s="309"/>
      <c r="H34" s="309"/>
      <c r="I34" s="457">
        <f>D34-1</f>
        <v>2025</v>
      </c>
      <c r="J34" s="458"/>
      <c r="K34" s="458"/>
    </row>
    <row r="35" spans="1:11" ht="24.95" customHeight="1">
      <c r="A35" s="271"/>
      <c r="B35" s="250"/>
      <c r="C35" s="131"/>
      <c r="D35" s="459"/>
      <c r="E35" s="321"/>
      <c r="F35" s="322"/>
      <c r="G35" s="322"/>
      <c r="H35" s="323"/>
      <c r="I35" s="459"/>
      <c r="J35" s="460"/>
      <c r="K35" s="460"/>
    </row>
    <row r="36" spans="1:11" ht="24.95" customHeight="1">
      <c r="A36" s="114"/>
      <c r="B36" s="115"/>
      <c r="C36" s="319"/>
      <c r="D36" s="330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4.95" customHeight="1">
      <c r="A37" s="114"/>
      <c r="B37" s="273"/>
      <c r="C37" s="273"/>
      <c r="D37" s="331"/>
      <c r="E37" s="455"/>
      <c r="F37" s="455"/>
      <c r="G37" s="456"/>
      <c r="H37" s="456"/>
      <c r="I37" s="453"/>
      <c r="J37" s="454"/>
      <c r="K37" s="456"/>
    </row>
    <row r="38" spans="1:11" ht="15" customHeight="1">
      <c r="A38" s="500" t="s">
        <v>155</v>
      </c>
      <c r="B38" s="500"/>
      <c r="C38" s="332" t="s">
        <v>180</v>
      </c>
      <c r="D38" s="310"/>
      <c r="E38" s="199" t="s">
        <v>247</v>
      </c>
      <c r="F38" s="199" t="s">
        <v>248</v>
      </c>
      <c r="G38" s="451"/>
      <c r="H38" s="451"/>
      <c r="I38" s="201" t="s">
        <v>247</v>
      </c>
      <c r="J38" s="199" t="s">
        <v>248</v>
      </c>
      <c r="K38" s="451"/>
    </row>
    <row r="39" spans="1:11" ht="11.1" customHeight="1">
      <c r="A39" s="418" t="str">
        <f>'3.1'!D5</f>
        <v>Leden</v>
      </c>
      <c r="B39" s="418"/>
      <c r="C39" s="145" t="s">
        <v>4</v>
      </c>
      <c r="D39" s="279">
        <v>170</v>
      </c>
      <c r="E39" s="275">
        <v>45343.057000000001</v>
      </c>
      <c r="F39" s="275">
        <v>496302.04388000001</v>
      </c>
      <c r="G39" s="276">
        <f>E39/$E$44</f>
        <v>0.29394774902677701</v>
      </c>
      <c r="H39" s="276">
        <f>(E39-I39)/I39</f>
        <v>-1.2542542849040366E-2</v>
      </c>
      <c r="I39" s="279">
        <v>45918.998</v>
      </c>
      <c r="J39" s="275">
        <v>499028.66032999998</v>
      </c>
      <c r="K39" s="276">
        <f>I39/$I$44</f>
        <v>0.3253586001905997</v>
      </c>
    </row>
    <row r="40" spans="1:11" ht="11.1" customHeight="1">
      <c r="A40" s="412"/>
      <c r="B40" s="412"/>
      <c r="C40" s="135" t="s">
        <v>5</v>
      </c>
      <c r="D40" s="280">
        <v>747</v>
      </c>
      <c r="E40" s="113">
        <v>16668.544999999998</v>
      </c>
      <c r="F40" s="113">
        <v>182445.87947000001</v>
      </c>
      <c r="G40" s="274">
        <f t="shared" ref="G40:G41" si="11">E40/$E$44</f>
        <v>0.108058027104382</v>
      </c>
      <c r="H40" s="274">
        <f>(E40-I40)/I40</f>
        <v>9.3935093469063868E-2</v>
      </c>
      <c r="I40" s="280">
        <v>15237.234</v>
      </c>
      <c r="J40" s="113">
        <v>165592.36929999999</v>
      </c>
      <c r="K40" s="274">
        <f t="shared" ref="K40:K43" si="12">I40/$I$44</f>
        <v>0.10796326881994707</v>
      </c>
    </row>
    <row r="41" spans="1:11" ht="11.1" customHeight="1">
      <c r="A41" s="412"/>
      <c r="B41" s="412"/>
      <c r="C41" s="135" t="s">
        <v>6</v>
      </c>
      <c r="D41" s="280">
        <v>24686</v>
      </c>
      <c r="E41" s="113">
        <v>26194.442999999999</v>
      </c>
      <c r="F41" s="113">
        <v>286710.66519999999</v>
      </c>
      <c r="G41" s="274">
        <f t="shared" si="11"/>
        <v>0.1698120520824217</v>
      </c>
      <c r="H41" s="274">
        <f t="shared" ref="H41:H43" si="13">(E41-I41)/I41</f>
        <v>0.17686043261671427</v>
      </c>
      <c r="I41" s="280">
        <v>22257.901000000002</v>
      </c>
      <c r="J41" s="113">
        <v>241890.09625</v>
      </c>
      <c r="K41" s="274">
        <f t="shared" si="12"/>
        <v>0.15770813449677079</v>
      </c>
    </row>
    <row r="42" spans="1:11" ht="11.1" customHeight="1">
      <c r="A42" s="412"/>
      <c r="B42" s="412"/>
      <c r="C42" s="135" t="s">
        <v>7</v>
      </c>
      <c r="D42" s="280">
        <v>345385</v>
      </c>
      <c r="E42" s="113">
        <v>64999.3</v>
      </c>
      <c r="F42" s="113">
        <v>711448.9</v>
      </c>
      <c r="G42" s="274">
        <f>E42/$E$44</f>
        <v>0.42137427838877706</v>
      </c>
      <c r="H42" s="274">
        <f t="shared" si="13"/>
        <v>0.14755612051234523</v>
      </c>
      <c r="I42" s="280">
        <v>56641.5</v>
      </c>
      <c r="J42" s="113">
        <v>615557.1</v>
      </c>
      <c r="K42" s="274">
        <f t="shared" si="12"/>
        <v>0.40133278066511496</v>
      </c>
    </row>
    <row r="43" spans="1:11" ht="11.1" customHeight="1">
      <c r="A43" s="412"/>
      <c r="B43" s="412"/>
      <c r="C43" s="135" t="s">
        <v>90</v>
      </c>
      <c r="D43" s="280">
        <v>29</v>
      </c>
      <c r="E43" s="113">
        <v>1050.155</v>
      </c>
      <c r="F43" s="113">
        <v>11494.452569999999</v>
      </c>
      <c r="G43" s="274">
        <f>E43/$E$44</f>
        <v>6.8078933976422236E-3</v>
      </c>
      <c r="H43" s="274">
        <f t="shared" si="13"/>
        <v>-2.5710036581507729E-2</v>
      </c>
      <c r="I43" s="280">
        <v>1077.867</v>
      </c>
      <c r="J43" s="113">
        <v>11713.808940000001</v>
      </c>
      <c r="K43" s="274">
        <f t="shared" si="12"/>
        <v>7.6372158275675155E-3</v>
      </c>
    </row>
    <row r="44" spans="1:11" ht="11.1" customHeight="1">
      <c r="A44" s="417"/>
      <c r="B44" s="417"/>
      <c r="C44" s="285" t="s">
        <v>0</v>
      </c>
      <c r="D44" s="288">
        <v>371017</v>
      </c>
      <c r="E44" s="286">
        <v>154255.5</v>
      </c>
      <c r="F44" s="286">
        <v>1688401.9411199999</v>
      </c>
      <c r="G44" s="287">
        <f>SUM(G39:G43)</f>
        <v>1</v>
      </c>
      <c r="H44" s="287">
        <f>(E44-I44)/I44</f>
        <v>9.297579950897554E-2</v>
      </c>
      <c r="I44" s="288">
        <v>141133.5</v>
      </c>
      <c r="J44" s="286">
        <v>1533782.0348199997</v>
      </c>
      <c r="K44" s="287">
        <f>SUM(K39:K43)</f>
        <v>1</v>
      </c>
    </row>
    <row r="45" spans="1:11" ht="11.1" customHeight="1">
      <c r="A45" s="418" t="str">
        <f>'3.1'!E5</f>
        <v>Únor</v>
      </c>
      <c r="B45" s="418"/>
      <c r="C45" s="145" t="s">
        <v>4</v>
      </c>
      <c r="D45" s="279">
        <v>168</v>
      </c>
      <c r="E45" s="275">
        <v>36083.728999999999</v>
      </c>
      <c r="F45" s="275">
        <v>393575.61965000001</v>
      </c>
      <c r="G45" s="276">
        <f>E45/$E$50</f>
        <v>0.31242162343751212</v>
      </c>
      <c r="H45" s="276">
        <f>(E45-I45)/I45</f>
        <v>-8.5514281825154276E-2</v>
      </c>
      <c r="I45" s="279">
        <v>39457.947</v>
      </c>
      <c r="J45" s="275">
        <v>427857.42405999999</v>
      </c>
      <c r="K45" s="276">
        <f>I45/$I$50</f>
        <v>0.31297797459559018</v>
      </c>
    </row>
    <row r="46" spans="1:11" ht="11.1" customHeight="1">
      <c r="A46" s="412"/>
      <c r="B46" s="412"/>
      <c r="C46" s="135" t="s">
        <v>5</v>
      </c>
      <c r="D46" s="280">
        <v>749</v>
      </c>
      <c r="E46" s="113">
        <v>12379.513999999999</v>
      </c>
      <c r="F46" s="113">
        <v>135027.14804</v>
      </c>
      <c r="G46" s="274">
        <f t="shared" ref="G46:G48" si="14">E46/$E$50</f>
        <v>0.10718481621584647</v>
      </c>
      <c r="H46" s="274">
        <f>(E46-I46)/I46</f>
        <v>-9.8024735056222362E-2</v>
      </c>
      <c r="I46" s="280">
        <v>13724.893</v>
      </c>
      <c r="J46" s="113">
        <v>148824.36807</v>
      </c>
      <c r="K46" s="274">
        <f t="shared" ref="K46:K49" si="15">I46/$I$50</f>
        <v>0.10886499524876937</v>
      </c>
    </row>
    <row r="47" spans="1:11" ht="11.1" customHeight="1">
      <c r="A47" s="412"/>
      <c r="B47" s="412"/>
      <c r="C47" s="135" t="s">
        <v>6</v>
      </c>
      <c r="D47" s="280">
        <v>24688</v>
      </c>
      <c r="E47" s="113">
        <v>19689.669999999998</v>
      </c>
      <c r="F47" s="113">
        <v>214760.28851000001</v>
      </c>
      <c r="G47" s="274">
        <f t="shared" si="14"/>
        <v>0.17047790893088902</v>
      </c>
      <c r="H47" s="274">
        <f t="shared" ref="H47:H49" si="16">(E47-I47)/I47</f>
        <v>-6.4010446369918317E-2</v>
      </c>
      <c r="I47" s="280">
        <v>21036.206999999999</v>
      </c>
      <c r="J47" s="113">
        <v>228103.22091999999</v>
      </c>
      <c r="K47" s="274">
        <f t="shared" si="15"/>
        <v>0.16685788188710315</v>
      </c>
    </row>
    <row r="48" spans="1:11" ht="11.1" customHeight="1">
      <c r="A48" s="412"/>
      <c r="B48" s="412"/>
      <c r="C48" s="135" t="s">
        <v>7</v>
      </c>
      <c r="D48" s="280">
        <v>345109</v>
      </c>
      <c r="E48" s="113">
        <v>46407.6</v>
      </c>
      <c r="F48" s="113">
        <v>506180.7</v>
      </c>
      <c r="G48" s="274">
        <f t="shared" si="14"/>
        <v>0.40180818705956606</v>
      </c>
      <c r="H48" s="274">
        <f t="shared" si="16"/>
        <v>-8.7493830777489248E-2</v>
      </c>
      <c r="I48" s="280">
        <v>50857.3</v>
      </c>
      <c r="J48" s="113">
        <v>551464.80000000005</v>
      </c>
      <c r="K48" s="274">
        <f t="shared" si="15"/>
        <v>0.40339693160924744</v>
      </c>
    </row>
    <row r="49" spans="1:11" ht="11.1" customHeight="1">
      <c r="A49" s="412"/>
      <c r="B49" s="412"/>
      <c r="C49" s="135" t="s">
        <v>90</v>
      </c>
      <c r="D49" s="280">
        <v>28</v>
      </c>
      <c r="E49" s="113">
        <v>936.38699999999994</v>
      </c>
      <c r="F49" s="113">
        <v>10213.42554</v>
      </c>
      <c r="G49" s="274">
        <f>E49/$E$50</f>
        <v>8.107464356186183E-3</v>
      </c>
      <c r="H49" s="274">
        <f t="shared" si="16"/>
        <v>-6.0091161582449537E-2</v>
      </c>
      <c r="I49" s="280">
        <v>996.25300000000004</v>
      </c>
      <c r="J49" s="113">
        <v>10802.740309999999</v>
      </c>
      <c r="K49" s="274">
        <f t="shared" si="15"/>
        <v>7.9022166592899647E-3</v>
      </c>
    </row>
    <row r="50" spans="1:11" ht="11.1" customHeight="1">
      <c r="A50" s="417"/>
      <c r="B50" s="417"/>
      <c r="C50" s="285" t="s">
        <v>0</v>
      </c>
      <c r="D50" s="288">
        <v>370742</v>
      </c>
      <c r="E50" s="286">
        <v>115496.90000000001</v>
      </c>
      <c r="F50" s="286">
        <v>1259757.1817399999</v>
      </c>
      <c r="G50" s="287">
        <f>SUM(G45:G49)</f>
        <v>0.99999999999999989</v>
      </c>
      <c r="H50" s="287">
        <f t="shared" ref="H50" si="17">(E50-I50)/I50</f>
        <v>-8.3885792789234012E-2</v>
      </c>
      <c r="I50" s="288">
        <v>126072.59999999999</v>
      </c>
      <c r="J50" s="286">
        <v>1367052.55336</v>
      </c>
      <c r="K50" s="287">
        <f>SUM(K45:K49)</f>
        <v>1</v>
      </c>
    </row>
    <row r="51" spans="1:11" ht="11.1" customHeight="1">
      <c r="A51" s="418" t="str">
        <f>'3.1'!F5</f>
        <v>Březen</v>
      </c>
      <c r="B51" s="418"/>
      <c r="C51" s="145" t="s">
        <v>4</v>
      </c>
      <c r="D51" s="279">
        <v>167</v>
      </c>
      <c r="E51" s="275">
        <v>27486.021000000001</v>
      </c>
      <c r="F51" s="275">
        <v>301639.58945000003</v>
      </c>
      <c r="G51" s="276">
        <f>E51/$E$56</f>
        <v>0.3227085258339214</v>
      </c>
      <c r="H51" s="276">
        <f>(E51-I51)/I51</f>
        <v>-0.16427184282995588</v>
      </c>
      <c r="I51" s="279">
        <v>32888.71</v>
      </c>
      <c r="J51" s="275">
        <v>358420.03943</v>
      </c>
      <c r="K51" s="276">
        <f>I51/$I$56</f>
        <v>0.35240030558987312</v>
      </c>
    </row>
    <row r="52" spans="1:11" ht="11.1" customHeight="1">
      <c r="A52" s="412"/>
      <c r="B52" s="412"/>
      <c r="C52" s="135" t="s">
        <v>5</v>
      </c>
      <c r="D52" s="280">
        <v>729</v>
      </c>
      <c r="E52" s="113">
        <v>9089.0509999999995</v>
      </c>
      <c r="F52" s="113">
        <v>99746.050480000005</v>
      </c>
      <c r="G52" s="274">
        <f t="shared" ref="G52:G55" si="18">E52/$E$56</f>
        <v>0.10671294507994913</v>
      </c>
      <c r="H52" s="274">
        <f t="shared" ref="H52:H55" si="19">(E52-I52)/I52</f>
        <v>-7.0639394259469329E-2</v>
      </c>
      <c r="I52" s="280">
        <v>9779.8970000000008</v>
      </c>
      <c r="J52" s="113">
        <v>106580.71245000001</v>
      </c>
      <c r="K52" s="274">
        <f t="shared" ref="K52:K55" si="20">I52/$I$56</f>
        <v>0.10479093559575561</v>
      </c>
    </row>
    <row r="53" spans="1:11" ht="11.1" customHeight="1">
      <c r="A53" s="412"/>
      <c r="B53" s="412"/>
      <c r="C53" s="135" t="s">
        <v>6</v>
      </c>
      <c r="D53" s="280">
        <v>24686</v>
      </c>
      <c r="E53" s="113">
        <v>14215.083000000001</v>
      </c>
      <c r="F53" s="113">
        <v>156000.03596000001</v>
      </c>
      <c r="G53" s="274">
        <f t="shared" si="18"/>
        <v>0.16689678289690738</v>
      </c>
      <c r="H53" s="274">
        <f t="shared" si="19"/>
        <v>-3.5578368043941766E-2</v>
      </c>
      <c r="I53" s="280">
        <v>14739.49</v>
      </c>
      <c r="J53" s="113">
        <v>160630.04751999999</v>
      </c>
      <c r="K53" s="274">
        <f t="shared" si="20"/>
        <v>0.1579326395057416</v>
      </c>
    </row>
    <row r="54" spans="1:11" ht="11.1" customHeight="1">
      <c r="A54" s="412"/>
      <c r="B54" s="412"/>
      <c r="C54" s="135" t="s">
        <v>7</v>
      </c>
      <c r="D54" s="280">
        <v>344797</v>
      </c>
      <c r="E54" s="113">
        <v>33319</v>
      </c>
      <c r="F54" s="113">
        <v>365652.5</v>
      </c>
      <c r="G54" s="274">
        <f t="shared" si="18"/>
        <v>0.3911925037189059</v>
      </c>
      <c r="H54" s="274">
        <f t="shared" si="19"/>
        <v>-4.3099165127786776E-2</v>
      </c>
      <c r="I54" s="280">
        <v>34819.699999999997</v>
      </c>
      <c r="J54" s="113">
        <v>379463.9</v>
      </c>
      <c r="K54" s="274">
        <f t="shared" si="20"/>
        <v>0.37309073297638318</v>
      </c>
    </row>
    <row r="55" spans="1:11" ht="11.1" customHeight="1">
      <c r="A55" s="412"/>
      <c r="B55" s="412"/>
      <c r="C55" s="135" t="s">
        <v>90</v>
      </c>
      <c r="D55" s="280">
        <v>28</v>
      </c>
      <c r="E55" s="113">
        <v>1063.7449999999999</v>
      </c>
      <c r="F55" s="113">
        <v>11673.84611</v>
      </c>
      <c r="G55" s="274">
        <f t="shared" si="18"/>
        <v>1.2489242470316263E-2</v>
      </c>
      <c r="H55" s="274">
        <f t="shared" si="19"/>
        <v>-3.2873807963065951E-2</v>
      </c>
      <c r="I55" s="280">
        <v>1099.903</v>
      </c>
      <c r="J55" s="113">
        <v>11986.71776</v>
      </c>
      <c r="K55" s="274">
        <f t="shared" si="20"/>
        <v>1.1785386332246482E-2</v>
      </c>
    </row>
    <row r="56" spans="1:11" ht="11.1" customHeight="1">
      <c r="A56" s="417"/>
      <c r="B56" s="417"/>
      <c r="C56" s="285" t="s">
        <v>0</v>
      </c>
      <c r="D56" s="288">
        <v>370407</v>
      </c>
      <c r="E56" s="286">
        <v>85172.9</v>
      </c>
      <c r="F56" s="286">
        <v>934712.02200000011</v>
      </c>
      <c r="G56" s="287">
        <f>SUM(G51:G55)</f>
        <v>1</v>
      </c>
      <c r="H56" s="287">
        <f t="shared" ref="H56" si="21">(E56-I56)/I56</f>
        <v>-8.7378131037194773E-2</v>
      </c>
      <c r="I56" s="288">
        <v>93327.7</v>
      </c>
      <c r="J56" s="286">
        <v>1017081.4171600001</v>
      </c>
      <c r="K56" s="287">
        <f>SUM(K51:K55)</f>
        <v>1</v>
      </c>
    </row>
    <row r="57" spans="1:11" ht="11.1" customHeight="1">
      <c r="A57" s="476" t="str">
        <f>'3.1'!G5</f>
        <v>I. čtvrtletí</v>
      </c>
      <c r="B57" s="418"/>
      <c r="C57" s="145" t="s">
        <v>4</v>
      </c>
      <c r="D57" s="279">
        <f>D51</f>
        <v>167</v>
      </c>
      <c r="E57" s="275">
        <f>E39+E45+E51</f>
        <v>108912.807</v>
      </c>
      <c r="F57" s="275">
        <f>F39+F45+F51</f>
        <v>1191517.2529800001</v>
      </c>
      <c r="G57" s="276">
        <f>E57/$E$62</f>
        <v>0.30686120995037541</v>
      </c>
      <c r="H57" s="276">
        <f>(E57-I57)/I57</f>
        <v>-7.9083382238063937E-2</v>
      </c>
      <c r="I57" s="279">
        <f>I39+I45+I51</f>
        <v>118265.655</v>
      </c>
      <c r="J57" s="275">
        <f>J39+J45+J51</f>
        <v>1285306.1238199999</v>
      </c>
      <c r="K57" s="276">
        <f>I57/$I$62</f>
        <v>0.32802931375643563</v>
      </c>
    </row>
    <row r="58" spans="1:11" ht="11.1" customHeight="1">
      <c r="A58" s="412"/>
      <c r="B58" s="412"/>
      <c r="C58" s="135" t="s">
        <v>5</v>
      </c>
      <c r="D58" s="280">
        <f>D52</f>
        <v>729</v>
      </c>
      <c r="E58" s="113">
        <f t="shared" ref="E58:F58" si="22">E40+E46+E52</f>
        <v>38137.11</v>
      </c>
      <c r="F58" s="113">
        <f t="shared" si="22"/>
        <v>417219.07799000002</v>
      </c>
      <c r="G58" s="274">
        <f t="shared" ref="G58:G61" si="23">E58/$E$62</f>
        <v>0.10745108900379882</v>
      </c>
      <c r="H58" s="274">
        <f t="shared" ref="H58:H61" si="24">(E58-I58)/I58</f>
        <v>-1.5613897714791675E-2</v>
      </c>
      <c r="I58" s="280">
        <f t="shared" ref="I58:J59" si="25">I40+I46+I52</f>
        <v>38742.024000000005</v>
      </c>
      <c r="J58" s="113">
        <f t="shared" si="25"/>
        <v>420997.44981999998</v>
      </c>
      <c r="K58" s="274">
        <f t="shared" ref="K58:K61" si="26">I58/$I$62</f>
        <v>0.10745739789168174</v>
      </c>
    </row>
    <row r="59" spans="1:11" ht="11.1" customHeight="1">
      <c r="A59" s="412"/>
      <c r="B59" s="412"/>
      <c r="C59" s="135" t="s">
        <v>6</v>
      </c>
      <c r="D59" s="280">
        <f>D53</f>
        <v>24686</v>
      </c>
      <c r="E59" s="113">
        <f>E41+E47+E53</f>
        <v>60099.195999999996</v>
      </c>
      <c r="F59" s="113">
        <f t="shared" ref="F59" si="27">F41+F47+F53</f>
        <v>657470.98967000004</v>
      </c>
      <c r="G59" s="274">
        <f t="shared" si="23"/>
        <v>0.16932914052618955</v>
      </c>
      <c r="H59" s="274">
        <f t="shared" si="24"/>
        <v>3.5593140373615953E-2</v>
      </c>
      <c r="I59" s="280">
        <f>I41+I47+I53</f>
        <v>58033.597999999998</v>
      </c>
      <c r="J59" s="113">
        <f t="shared" si="25"/>
        <v>630623.36468999996</v>
      </c>
      <c r="K59" s="274">
        <f t="shared" si="26"/>
        <v>0.16096576243336963</v>
      </c>
    </row>
    <row r="60" spans="1:11" ht="11.1" customHeight="1">
      <c r="A60" s="412"/>
      <c r="B60" s="412"/>
      <c r="C60" s="135" t="s">
        <v>7</v>
      </c>
      <c r="D60" s="280">
        <f>D54</f>
        <v>344797</v>
      </c>
      <c r="E60" s="113">
        <f t="shared" ref="E60:F60" si="28">E42+E48+E54</f>
        <v>144725.9</v>
      </c>
      <c r="F60" s="113">
        <f t="shared" si="28"/>
        <v>1583282.1</v>
      </c>
      <c r="G60" s="274">
        <f t="shared" si="23"/>
        <v>0.4077643943669273</v>
      </c>
      <c r="H60" s="274">
        <f t="shared" si="24"/>
        <v>1.6915580195125679E-2</v>
      </c>
      <c r="I60" s="280">
        <f t="shared" ref="I60:J61" si="29">I42+I48+I54</f>
        <v>142318.5</v>
      </c>
      <c r="J60" s="113">
        <f t="shared" si="29"/>
        <v>1546485.7999999998</v>
      </c>
      <c r="K60" s="274">
        <f t="shared" si="26"/>
        <v>0.39474384925907086</v>
      </c>
    </row>
    <row r="61" spans="1:11" ht="11.1" customHeight="1">
      <c r="A61" s="412"/>
      <c r="B61" s="412"/>
      <c r="C61" s="135" t="s">
        <v>90</v>
      </c>
      <c r="D61" s="280">
        <f>D55</f>
        <v>28</v>
      </c>
      <c r="E61" s="113">
        <f>E43+E49+E55</f>
        <v>3050.2869999999998</v>
      </c>
      <c r="F61" s="113">
        <f t="shared" ref="F61" si="30">F43+F49+F55</f>
        <v>33381.724219999996</v>
      </c>
      <c r="G61" s="274">
        <f t="shared" si="23"/>
        <v>8.5941661527087522E-3</v>
      </c>
      <c r="H61" s="274">
        <f t="shared" si="24"/>
        <v>-3.8983964514434935E-2</v>
      </c>
      <c r="I61" s="280">
        <f>I43+I49+I55</f>
        <v>3174.0230000000001</v>
      </c>
      <c r="J61" s="113">
        <f t="shared" si="29"/>
        <v>34503.267009999996</v>
      </c>
      <c r="K61" s="274">
        <f t="shared" si="26"/>
        <v>8.8036766594421952E-3</v>
      </c>
    </row>
    <row r="62" spans="1:11" ht="11.1" customHeight="1">
      <c r="A62" s="417"/>
      <c r="B62" s="417"/>
      <c r="C62" s="285" t="s">
        <v>0</v>
      </c>
      <c r="D62" s="288">
        <f>SUM(D57:D61)</f>
        <v>370407</v>
      </c>
      <c r="E62" s="286">
        <f>SUM(E57:E61)</f>
        <v>354925.30000000005</v>
      </c>
      <c r="F62" s="286">
        <f>SUM(F57:F61)</f>
        <v>3882871.1448600003</v>
      </c>
      <c r="G62" s="287">
        <f>SUM(G57:G61)</f>
        <v>0.99999999999999989</v>
      </c>
      <c r="H62" s="287">
        <f>(E62-I62)/I62</f>
        <v>-1.5556100426644997E-2</v>
      </c>
      <c r="I62" s="288">
        <f>SUM(I57:I61)</f>
        <v>360533.8</v>
      </c>
      <c r="J62" s="286">
        <f>SUM(J57:J61)</f>
        <v>3917916.0053399997</v>
      </c>
      <c r="K62" s="287">
        <f>SUM(K57:K61)</f>
        <v>1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2:K2"/>
    <mergeCell ref="A8:B8"/>
    <mergeCell ref="H6:H8"/>
    <mergeCell ref="A3:C3"/>
    <mergeCell ref="E6:F7"/>
    <mergeCell ref="I6:J7"/>
    <mergeCell ref="G6:G8"/>
    <mergeCell ref="K6:K8"/>
    <mergeCell ref="A4:C4"/>
    <mergeCell ref="D4:D5"/>
    <mergeCell ref="I4:K5"/>
    <mergeCell ref="A9:B14"/>
    <mergeCell ref="A15:B20"/>
    <mergeCell ref="A21:B26"/>
    <mergeCell ref="A27:B32"/>
    <mergeCell ref="A34:C34"/>
    <mergeCell ref="A45:B50"/>
    <mergeCell ref="E36:F37"/>
    <mergeCell ref="I36:J37"/>
    <mergeCell ref="A51:B56"/>
    <mergeCell ref="A57:B62"/>
    <mergeCell ref="A39:B44"/>
    <mergeCell ref="A38:B38"/>
    <mergeCell ref="D34:D35"/>
    <mergeCell ref="I34:K35"/>
    <mergeCell ref="H36:H38"/>
    <mergeCell ref="G36:G38"/>
    <mergeCell ref="K36:K3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20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16" s="91" customFormat="1" ht="18">
      <c r="A1" s="485" t="s">
        <v>288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502"/>
      <c r="B3" s="502"/>
      <c r="C3" s="502"/>
      <c r="D3" s="267"/>
      <c r="E3" s="267"/>
      <c r="F3" s="268"/>
      <c r="G3" s="269"/>
      <c r="H3" s="269"/>
      <c r="I3" s="269"/>
    </row>
    <row r="4" spans="1:16" ht="12.95" customHeight="1">
      <c r="A4" s="463" t="s">
        <v>36</v>
      </c>
      <c r="B4" s="463"/>
      <c r="C4" s="463"/>
      <c r="D4" s="457">
        <f>'3.1'!A4</f>
        <v>2026</v>
      </c>
      <c r="E4" s="320"/>
      <c r="F4" s="309"/>
      <c r="G4" s="309"/>
      <c r="H4" s="309"/>
      <c r="I4" s="457">
        <f>D4-1</f>
        <v>2025</v>
      </c>
      <c r="J4" s="458"/>
      <c r="K4" s="458"/>
    </row>
    <row r="5" spans="1:16" ht="24.95" customHeight="1">
      <c r="A5" s="131"/>
      <c r="B5" s="131"/>
      <c r="C5" s="131"/>
      <c r="D5" s="459"/>
      <c r="E5" s="321"/>
      <c r="F5" s="322"/>
      <c r="G5" s="322"/>
      <c r="H5" s="323"/>
      <c r="I5" s="459"/>
      <c r="J5" s="460"/>
      <c r="K5" s="460"/>
    </row>
    <row r="6" spans="1:16" ht="24.95" customHeight="1">
      <c r="A6" s="271"/>
      <c r="B6" s="250"/>
      <c r="C6" s="272"/>
      <c r="D6" s="330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4.95" customHeight="1">
      <c r="A7" s="271"/>
      <c r="B7" s="273"/>
      <c r="D7" s="331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0" t="s">
        <v>180</v>
      </c>
      <c r="D8" s="310"/>
      <c r="E8" s="199" t="s">
        <v>247</v>
      </c>
      <c r="F8" s="199" t="s">
        <v>248</v>
      </c>
      <c r="G8" s="451"/>
      <c r="H8" s="451"/>
      <c r="I8" s="201" t="s">
        <v>247</v>
      </c>
      <c r="J8" s="199" t="s">
        <v>248</v>
      </c>
      <c r="K8" s="451"/>
    </row>
    <row r="9" spans="1:16" ht="11.1" customHeight="1">
      <c r="A9" s="418" t="str">
        <f>'3.1'!D5</f>
        <v>Leden</v>
      </c>
      <c r="B9" s="418"/>
      <c r="C9" s="145" t="s">
        <v>4</v>
      </c>
      <c r="D9" s="279">
        <v>49</v>
      </c>
      <c r="E9" s="275">
        <v>22515.423999999999</v>
      </c>
      <c r="F9" s="275">
        <v>246441.79684</v>
      </c>
      <c r="G9" s="276">
        <f>E9/$E$14</f>
        <v>0.54271165114771169</v>
      </c>
      <c r="H9" s="276">
        <f>(E9-I9)/I9</f>
        <v>0.6755323966255421</v>
      </c>
      <c r="I9" s="279">
        <v>13437.772999999999</v>
      </c>
      <c r="J9" s="275">
        <v>146036.58519000001</v>
      </c>
      <c r="K9" s="276">
        <f>I9/$I$14</f>
        <v>0.45489167450898088</v>
      </c>
    </row>
    <row r="10" spans="1:16" ht="11.1" customHeight="1">
      <c r="A10" s="412"/>
      <c r="B10" s="412"/>
      <c r="C10" s="135" t="s">
        <v>5</v>
      </c>
      <c r="D10" s="280">
        <v>150</v>
      </c>
      <c r="E10" s="113">
        <v>2959.3020000000001</v>
      </c>
      <c r="F10" s="113">
        <v>32390.547930000001</v>
      </c>
      <c r="G10" s="274">
        <f>E10/$E$14</f>
        <v>7.1330998459754769E-2</v>
      </c>
      <c r="H10" s="274">
        <f>(E10-I10)/I10</f>
        <v>8.0673798361516669E-2</v>
      </c>
      <c r="I10" s="280">
        <v>2738.386</v>
      </c>
      <c r="J10" s="113">
        <v>29759.976589999998</v>
      </c>
      <c r="K10" s="274">
        <f>I10/$I$14</f>
        <v>9.2699065015605639E-2</v>
      </c>
      <c r="L10" s="68"/>
      <c r="N10" s="68"/>
      <c r="O10" s="68"/>
      <c r="P10" s="68"/>
    </row>
    <row r="11" spans="1:16" ht="11.1" customHeight="1">
      <c r="A11" s="412"/>
      <c r="B11" s="412"/>
      <c r="C11" s="135" t="s">
        <v>6</v>
      </c>
      <c r="D11" s="280">
        <v>5643</v>
      </c>
      <c r="E11" s="113">
        <v>6552.7020000000002</v>
      </c>
      <c r="F11" s="113">
        <v>71722.553769999999</v>
      </c>
      <c r="G11" s="274">
        <f>E11/$E$14</f>
        <v>0.15794629147996114</v>
      </c>
      <c r="H11" s="274">
        <f t="shared" ref="H11:H13" si="0">(E11-I11)/I11</f>
        <v>0.1833101795126881</v>
      </c>
      <c r="I11" s="280">
        <v>5537.6030000000001</v>
      </c>
      <c r="J11" s="113">
        <v>60180.898240000002</v>
      </c>
      <c r="K11" s="274">
        <f>I11/$I$14</f>
        <v>0.1874573637637692</v>
      </c>
      <c r="L11" s="68"/>
      <c r="N11" s="68"/>
      <c r="O11" s="68"/>
      <c r="P11" s="68"/>
    </row>
    <row r="12" spans="1:16" ht="11.1" customHeight="1">
      <c r="A12" s="412"/>
      <c r="B12" s="412"/>
      <c r="C12" s="135" t="s">
        <v>7</v>
      </c>
      <c r="D12" s="280">
        <v>72984</v>
      </c>
      <c r="E12" s="113">
        <v>9141.1</v>
      </c>
      <c r="F12" s="113">
        <v>100054.1</v>
      </c>
      <c r="G12" s="274">
        <f>E12/$E$14</f>
        <v>0.22033702204792358</v>
      </c>
      <c r="H12" s="274">
        <f t="shared" si="0"/>
        <v>0.21975661177977643</v>
      </c>
      <c r="I12" s="280">
        <v>7494.2</v>
      </c>
      <c r="J12" s="113">
        <v>81444.399999999994</v>
      </c>
      <c r="K12" s="274">
        <f>I12/$I$14</f>
        <v>0.25369152962363661</v>
      </c>
      <c r="L12" s="68"/>
      <c r="N12" s="68"/>
      <c r="O12" s="68"/>
      <c r="P12" s="68"/>
    </row>
    <row r="13" spans="1:16" ht="11.1" customHeight="1">
      <c r="A13" s="412"/>
      <c r="B13" s="412"/>
      <c r="C13" s="135" t="s">
        <v>90</v>
      </c>
      <c r="D13" s="280">
        <v>11</v>
      </c>
      <c r="E13" s="113">
        <v>318.37200000000001</v>
      </c>
      <c r="F13" s="113">
        <v>3484.7307999999998</v>
      </c>
      <c r="G13" s="274">
        <f>E13/$E$14</f>
        <v>7.6740368646488408E-3</v>
      </c>
      <c r="H13" s="274">
        <f t="shared" si="0"/>
        <v>-4.2887463248335922E-2</v>
      </c>
      <c r="I13" s="280">
        <v>332.63799999999998</v>
      </c>
      <c r="J13" s="113">
        <v>3614.9744700000001</v>
      </c>
      <c r="K13" s="274">
        <f>I13/$I$14</f>
        <v>1.1260367088007692E-2</v>
      </c>
      <c r="L13" s="68"/>
      <c r="N13" s="68"/>
      <c r="O13" s="68"/>
      <c r="P13" s="68"/>
    </row>
    <row r="14" spans="1:16" ht="11.1" customHeight="1">
      <c r="A14" s="417"/>
      <c r="B14" s="417"/>
      <c r="C14" s="285" t="s">
        <v>0</v>
      </c>
      <c r="D14" s="288">
        <v>78837</v>
      </c>
      <c r="E14" s="286">
        <v>41486.9</v>
      </c>
      <c r="F14" s="286">
        <v>454093.72933999996</v>
      </c>
      <c r="G14" s="287">
        <f>SUM(G9:G13)</f>
        <v>1</v>
      </c>
      <c r="H14" s="287">
        <f>(E14-I14)/I14</f>
        <v>0.40440275417560928</v>
      </c>
      <c r="I14" s="288">
        <v>29540.6</v>
      </c>
      <c r="J14" s="286">
        <v>321036.83449000004</v>
      </c>
      <c r="K14" s="287">
        <f>SUM(K9:K13)</f>
        <v>1</v>
      </c>
      <c r="L14" s="68"/>
    </row>
    <row r="15" spans="1:16" ht="11.1" customHeight="1">
      <c r="A15" s="418" t="str">
        <f>'3.1'!E5</f>
        <v>Únor</v>
      </c>
      <c r="B15" s="418"/>
      <c r="C15" s="145" t="s">
        <v>4</v>
      </c>
      <c r="D15" s="279">
        <v>46</v>
      </c>
      <c r="E15" s="275">
        <v>15774.543</v>
      </c>
      <c r="F15" s="275">
        <v>172057.16761999999</v>
      </c>
      <c r="G15" s="276">
        <f>E15/$E$20</f>
        <v>0.52965812138000512</v>
      </c>
      <c r="H15" s="276">
        <f>(E15-I15)/I15</f>
        <v>0.2815492026786332</v>
      </c>
      <c r="I15" s="279">
        <v>12308.964</v>
      </c>
      <c r="J15" s="275">
        <v>133470.14498000001</v>
      </c>
      <c r="K15" s="276">
        <f>I15/$I$20</f>
        <v>0.45335047198824352</v>
      </c>
      <c r="L15" s="68"/>
      <c r="M15" s="68"/>
    </row>
    <row r="16" spans="1:16" ht="11.1" customHeight="1">
      <c r="A16" s="412"/>
      <c r="B16" s="412"/>
      <c r="C16" s="135" t="s">
        <v>5</v>
      </c>
      <c r="D16" s="280">
        <v>153</v>
      </c>
      <c r="E16" s="113">
        <v>2269.877</v>
      </c>
      <c r="F16" s="113">
        <v>24758.239249999999</v>
      </c>
      <c r="G16" s="274">
        <f>E16/$E$20</f>
        <v>7.6215126332577862E-2</v>
      </c>
      <c r="H16" s="274">
        <f>(E16-I16)/I16</f>
        <v>-0.11833275847067884</v>
      </c>
      <c r="I16" s="280">
        <v>2574.5279999999998</v>
      </c>
      <c r="J16" s="113">
        <v>27916.896120000001</v>
      </c>
      <c r="K16" s="274">
        <f>I16/$I$20</f>
        <v>9.4822235563200005E-2</v>
      </c>
      <c r="L16" s="86"/>
      <c r="M16" s="68"/>
    </row>
    <row r="17" spans="1:20" ht="11.1" customHeight="1">
      <c r="A17" s="412"/>
      <c r="B17" s="412"/>
      <c r="C17" s="135" t="s">
        <v>6</v>
      </c>
      <c r="D17" s="280">
        <v>5640</v>
      </c>
      <c r="E17" s="113">
        <v>4907.6390000000001</v>
      </c>
      <c r="F17" s="113">
        <v>53528.797460000002</v>
      </c>
      <c r="G17" s="274">
        <f>E17/$E$20</f>
        <v>0.16478264081255772</v>
      </c>
      <c r="H17" s="274">
        <f t="shared" ref="H17:H20" si="1">(E17-I17)/I17</f>
        <v>-6.3165036152310602E-2</v>
      </c>
      <c r="I17" s="280">
        <v>5238.5309999999999</v>
      </c>
      <c r="J17" s="113">
        <v>56803.615030000001</v>
      </c>
      <c r="K17" s="274">
        <f>I17/$I$20</f>
        <v>0.19293991771972405</v>
      </c>
      <c r="L17" s="68"/>
      <c r="M17" s="68"/>
      <c r="N17" s="68"/>
      <c r="O17" s="68"/>
    </row>
    <row r="18" spans="1:20" ht="11.1" customHeight="1">
      <c r="A18" s="412"/>
      <c r="B18" s="412"/>
      <c r="C18" s="135" t="s">
        <v>7</v>
      </c>
      <c r="D18" s="280">
        <v>72913</v>
      </c>
      <c r="E18" s="113">
        <v>6526.5</v>
      </c>
      <c r="F18" s="113">
        <v>71186.399999999994</v>
      </c>
      <c r="G18" s="274">
        <f>E18/$E$20</f>
        <v>0.21913875598086127</v>
      </c>
      <c r="H18" s="274">
        <f t="shared" si="1"/>
        <v>-3.0079210569335203E-2</v>
      </c>
      <c r="I18" s="280">
        <v>6728.9</v>
      </c>
      <c r="J18" s="113">
        <v>72964.399999999994</v>
      </c>
      <c r="K18" s="274">
        <f>I18/$I$20</f>
        <v>0.24783157956767862</v>
      </c>
      <c r="L18" s="68"/>
      <c r="M18" s="68"/>
      <c r="N18" s="68"/>
      <c r="O18" s="68"/>
    </row>
    <row r="19" spans="1:20" ht="11.1" customHeight="1">
      <c r="A19" s="412"/>
      <c r="B19" s="412"/>
      <c r="C19" s="135" t="s">
        <v>90</v>
      </c>
      <c r="D19" s="280">
        <v>11</v>
      </c>
      <c r="E19" s="113">
        <v>303.94099999999997</v>
      </c>
      <c r="F19" s="113">
        <v>3315.1739899999998</v>
      </c>
      <c r="G19" s="274">
        <f>E19/$E$20</f>
        <v>1.0205355493998154E-2</v>
      </c>
      <c r="H19" s="274">
        <f t="shared" si="1"/>
        <v>1.2539268498252541E-2</v>
      </c>
      <c r="I19" s="280">
        <v>300.17700000000002</v>
      </c>
      <c r="J19" s="113">
        <v>3254.9343600000002</v>
      </c>
      <c r="K19" s="274">
        <f>I19/$I$20</f>
        <v>1.1055795161153691E-2</v>
      </c>
      <c r="L19" s="68"/>
      <c r="M19" s="68"/>
      <c r="N19" s="68"/>
      <c r="O19" s="68"/>
    </row>
    <row r="20" spans="1:20" ht="11.1" customHeight="1">
      <c r="A20" s="417"/>
      <c r="B20" s="417"/>
      <c r="C20" s="285" t="s">
        <v>0</v>
      </c>
      <c r="D20" s="288">
        <v>78763</v>
      </c>
      <c r="E20" s="286">
        <v>29782.499999999996</v>
      </c>
      <c r="F20" s="286">
        <v>324845.77831999998</v>
      </c>
      <c r="G20" s="287">
        <f>SUM(G15:G19)</f>
        <v>1.0000000000000002</v>
      </c>
      <c r="H20" s="287">
        <f t="shared" si="1"/>
        <v>9.691688366217184E-2</v>
      </c>
      <c r="I20" s="288">
        <v>27151.100000000002</v>
      </c>
      <c r="J20" s="286">
        <v>294409.99049000005</v>
      </c>
      <c r="K20" s="287">
        <f>SUM(K15:K19)</f>
        <v>1</v>
      </c>
      <c r="L20" s="68"/>
      <c r="M20" s="68"/>
      <c r="N20" s="68"/>
      <c r="O20" s="68"/>
    </row>
    <row r="21" spans="1:20" ht="11.1" customHeight="1">
      <c r="A21" s="418" t="str">
        <f>'3.1'!F5</f>
        <v>Březen</v>
      </c>
      <c r="B21" s="418"/>
      <c r="C21" s="145" t="s">
        <v>4</v>
      </c>
      <c r="D21" s="279">
        <v>46</v>
      </c>
      <c r="E21" s="275">
        <v>8070.3119999999999</v>
      </c>
      <c r="F21" s="275">
        <v>88565.906669999997</v>
      </c>
      <c r="G21" s="276">
        <f>E21/$E$26</f>
        <v>0.43512996781133229</v>
      </c>
      <c r="H21" s="276">
        <f>(E21-I21)/I21</f>
        <v>-0.18524508636976808</v>
      </c>
      <c r="I21" s="279">
        <v>9905.2019999999993</v>
      </c>
      <c r="J21" s="275">
        <v>107946.59332</v>
      </c>
      <c r="K21" s="276">
        <f>I21/$I$26</f>
        <v>0.48448751999295664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" customHeight="1">
      <c r="A22" s="412"/>
      <c r="B22" s="412"/>
      <c r="C22" s="135" t="s">
        <v>5</v>
      </c>
      <c r="D22" s="280">
        <v>145</v>
      </c>
      <c r="E22" s="113">
        <v>1927.6990000000001</v>
      </c>
      <c r="F22" s="113">
        <v>21154.928100000001</v>
      </c>
      <c r="G22" s="274">
        <f>E22/$E$26</f>
        <v>0.10393645299214424</v>
      </c>
      <c r="H22" s="274">
        <f t="shared" ref="H22:H26" si="2">(E22-I22)/I22</f>
        <v>-7.9290579103764407E-3</v>
      </c>
      <c r="I22" s="280">
        <v>1943.106</v>
      </c>
      <c r="J22" s="113">
        <v>21175.7405</v>
      </c>
      <c r="K22" s="274">
        <f>I22/$I$26</f>
        <v>9.5042040235366637E-2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" customHeight="1">
      <c r="A23" s="412"/>
      <c r="B23" s="412"/>
      <c r="C23" s="135" t="s">
        <v>6</v>
      </c>
      <c r="D23" s="280">
        <v>5640</v>
      </c>
      <c r="E23" s="113">
        <v>3542.3040000000001</v>
      </c>
      <c r="F23" s="113">
        <v>38874.70362</v>
      </c>
      <c r="G23" s="274">
        <f>E23/$E$26</f>
        <v>0.19099170211733496</v>
      </c>
      <c r="H23" s="274">
        <f t="shared" si="2"/>
        <v>-3.4881069244746203E-2</v>
      </c>
      <c r="I23" s="280">
        <v>3670.3290000000002</v>
      </c>
      <c r="J23" s="113">
        <v>39998.86075</v>
      </c>
      <c r="K23" s="274">
        <f>I23/$I$26</f>
        <v>0.17952471789754806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" customHeight="1">
      <c r="A24" s="412"/>
      <c r="B24" s="412"/>
      <c r="C24" s="135" t="s">
        <v>7</v>
      </c>
      <c r="D24" s="280">
        <v>72847</v>
      </c>
      <c r="E24" s="113">
        <v>4685.8</v>
      </c>
      <c r="F24" s="113">
        <v>51423.3</v>
      </c>
      <c r="G24" s="274">
        <f>E24/$E$26</f>
        <v>0.25264599474844851</v>
      </c>
      <c r="H24" s="274">
        <f t="shared" si="2"/>
        <v>1.7104406338181069E-2</v>
      </c>
      <c r="I24" s="280">
        <v>4607</v>
      </c>
      <c r="J24" s="113">
        <v>50206.9</v>
      </c>
      <c r="K24" s="274">
        <f>I24/$I$26</f>
        <v>0.22533957455966586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" customHeight="1">
      <c r="A25" s="412"/>
      <c r="B25" s="412"/>
      <c r="C25" s="135" t="s">
        <v>90</v>
      </c>
      <c r="D25" s="280">
        <v>11</v>
      </c>
      <c r="E25" s="113">
        <v>320.78500000000003</v>
      </c>
      <c r="F25" s="113">
        <v>3520.3742400000001</v>
      </c>
      <c r="G25" s="274">
        <f>E25/$E$26</f>
        <v>1.729588233073991E-2</v>
      </c>
      <c r="H25" s="274">
        <f t="shared" si="2"/>
        <v>5.3970532465376329E-3</v>
      </c>
      <c r="I25" s="280">
        <v>319.06299999999999</v>
      </c>
      <c r="J25" s="113">
        <v>3477.13949</v>
      </c>
      <c r="K25" s="274">
        <f>I25/$I$26</f>
        <v>1.5606147314462918E-2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" customHeight="1">
      <c r="A26" s="417"/>
      <c r="B26" s="417"/>
      <c r="C26" s="285" t="s">
        <v>0</v>
      </c>
      <c r="D26" s="288">
        <v>78689</v>
      </c>
      <c r="E26" s="286">
        <v>18546.900000000001</v>
      </c>
      <c r="F26" s="286">
        <v>203539.21262999999</v>
      </c>
      <c r="G26" s="287">
        <f>SUM(G21:G25)</f>
        <v>0.99999999999999989</v>
      </c>
      <c r="H26" s="287">
        <f t="shared" si="2"/>
        <v>-9.2826013587873429E-2</v>
      </c>
      <c r="I26" s="288">
        <v>20444.699999999997</v>
      </c>
      <c r="J26" s="286">
        <v>222805.23405999999</v>
      </c>
      <c r="K26" s="287">
        <f>SUM(K21:K25)</f>
        <v>1</v>
      </c>
    </row>
    <row r="27" spans="1:20" ht="11.1" customHeight="1">
      <c r="A27" s="476" t="str">
        <f>'3.1'!G5</f>
        <v>I. čtvrtletí</v>
      </c>
      <c r="B27" s="418"/>
      <c r="C27" s="145" t="s">
        <v>4</v>
      </c>
      <c r="D27" s="279">
        <f>D21</f>
        <v>46</v>
      </c>
      <c r="E27" s="275">
        <f>E9+E15+E21</f>
        <v>46360.278999999995</v>
      </c>
      <c r="F27" s="275">
        <f>F9+F15+F21</f>
        <v>507064.87112999998</v>
      </c>
      <c r="G27" s="276">
        <f>E27/$E$32</f>
        <v>0.51616776687527766</v>
      </c>
      <c r="H27" s="276">
        <f>(E27-I27)/I27</f>
        <v>0.30035785711402674</v>
      </c>
      <c r="I27" s="279">
        <f>I9+I15+I21</f>
        <v>35651.938999999998</v>
      </c>
      <c r="J27" s="275">
        <f>J9+J15+J21</f>
        <v>387453.32348999998</v>
      </c>
      <c r="K27" s="276">
        <f>I27/$I$32</f>
        <v>0.46219345211858476</v>
      </c>
    </row>
    <row r="28" spans="1:20" ht="11.1" customHeight="1">
      <c r="A28" s="412"/>
      <c r="B28" s="412"/>
      <c r="C28" s="135" t="s">
        <v>5</v>
      </c>
      <c r="D28" s="280">
        <f>D22</f>
        <v>145</v>
      </c>
      <c r="E28" s="113">
        <f t="shared" ref="E28:F31" si="3">E10+E16+E22</f>
        <v>7156.8780000000006</v>
      </c>
      <c r="F28" s="113">
        <f t="shared" si="3"/>
        <v>78303.715280000004</v>
      </c>
      <c r="G28" s="274">
        <f>E28/$E$32</f>
        <v>7.9683509563408889E-2</v>
      </c>
      <c r="H28" s="274">
        <f t="shared" ref="H28:H31" si="4">(E28-I28)/I28</f>
        <v>-1.3663413276148484E-2</v>
      </c>
      <c r="I28" s="280">
        <f t="shared" ref="I28:J28" si="5">I10+I16+I22</f>
        <v>7256.0199999999995</v>
      </c>
      <c r="J28" s="113">
        <f t="shared" si="5"/>
        <v>78852.613209999996</v>
      </c>
      <c r="K28" s="274">
        <f>I28/$I$32</f>
        <v>9.4067392307652417E-2</v>
      </c>
    </row>
    <row r="29" spans="1:20" ht="11.1" customHeight="1">
      <c r="A29" s="412"/>
      <c r="B29" s="412"/>
      <c r="C29" s="135" t="s">
        <v>6</v>
      </c>
      <c r="D29" s="280">
        <f>D23</f>
        <v>5640</v>
      </c>
      <c r="E29" s="113">
        <f t="shared" si="3"/>
        <v>15002.645</v>
      </c>
      <c r="F29" s="113">
        <f t="shared" si="3"/>
        <v>164126.05485000001</v>
      </c>
      <c r="G29" s="274">
        <f>E29/$E$32</f>
        <v>0.16703699662533419</v>
      </c>
      <c r="H29" s="274">
        <f t="shared" si="4"/>
        <v>3.8499527531410331E-2</v>
      </c>
      <c r="I29" s="280">
        <f t="shared" ref="I29:J29" si="6">I11+I17+I23</f>
        <v>14446.463</v>
      </c>
      <c r="J29" s="113">
        <f t="shared" si="6"/>
        <v>156983.37401999999</v>
      </c>
      <c r="K29" s="274">
        <f>I29/$I$32</f>
        <v>0.18728464123293284</v>
      </c>
    </row>
    <row r="30" spans="1:20" ht="11.1" customHeight="1">
      <c r="A30" s="412"/>
      <c r="B30" s="412"/>
      <c r="C30" s="135" t="s">
        <v>7</v>
      </c>
      <c r="D30" s="280">
        <f>D24</f>
        <v>72847</v>
      </c>
      <c r="E30" s="113">
        <f t="shared" si="3"/>
        <v>20353.400000000001</v>
      </c>
      <c r="F30" s="113">
        <f t="shared" si="3"/>
        <v>222663.8</v>
      </c>
      <c r="G30" s="274">
        <f>E30/$E$32</f>
        <v>0.22661142799246911</v>
      </c>
      <c r="H30" s="274">
        <f t="shared" si="4"/>
        <v>8.0897074364979629E-2</v>
      </c>
      <c r="I30" s="280">
        <f t="shared" ref="I30:J30" si="7">I12+I18+I24</f>
        <v>18830.099999999999</v>
      </c>
      <c r="J30" s="113">
        <f t="shared" si="7"/>
        <v>204615.69999999998</v>
      </c>
      <c r="K30" s="274">
        <f>I30/$I$32</f>
        <v>0.24411432216178094</v>
      </c>
    </row>
    <row r="31" spans="1:20" ht="11.1" customHeight="1">
      <c r="A31" s="412"/>
      <c r="B31" s="412"/>
      <c r="C31" s="135" t="s">
        <v>90</v>
      </c>
      <c r="D31" s="280">
        <f>D25</f>
        <v>11</v>
      </c>
      <c r="E31" s="113">
        <f>E13+E19+E25</f>
        <v>943.09799999999996</v>
      </c>
      <c r="F31" s="113">
        <f t="shared" si="3"/>
        <v>10320.27903</v>
      </c>
      <c r="G31" s="274">
        <f>E31/$E$32</f>
        <v>1.0500298943510254E-2</v>
      </c>
      <c r="H31" s="274">
        <f t="shared" si="4"/>
        <v>-9.2238711263419107E-3</v>
      </c>
      <c r="I31" s="280">
        <f>I13+I19+I25</f>
        <v>951.87800000000004</v>
      </c>
      <c r="J31" s="113">
        <f t="shared" ref="J31" si="8">J13+J19+J25</f>
        <v>10347.04832</v>
      </c>
      <c r="K31" s="274">
        <f>I31/$I$32</f>
        <v>1.2340192179049062E-2</v>
      </c>
    </row>
    <row r="32" spans="1:20" ht="11.1" customHeight="1">
      <c r="A32" s="417"/>
      <c r="B32" s="417"/>
      <c r="C32" s="285" t="s">
        <v>0</v>
      </c>
      <c r="D32" s="288">
        <f>SUM(D27:D31)</f>
        <v>78689</v>
      </c>
      <c r="E32" s="286">
        <f>SUM(E27:E31)</f>
        <v>89816.299999999988</v>
      </c>
      <c r="F32" s="286">
        <f>SUM(F27:F31)</f>
        <v>982478.72028999997</v>
      </c>
      <c r="G32" s="287">
        <f>SUM(G27:G31)</f>
        <v>1.0000000000000002</v>
      </c>
      <c r="H32" s="287">
        <f>(E32-I32)/I32</f>
        <v>0.16438283352606545</v>
      </c>
      <c r="I32" s="288">
        <f>SUM(I27:I31)</f>
        <v>77136.399999999994</v>
      </c>
      <c r="J32" s="286">
        <f>SUM(J27:J31)</f>
        <v>838252.05903999985</v>
      </c>
      <c r="K32" s="287">
        <f>SUM(K27:K31)</f>
        <v>1</v>
      </c>
    </row>
    <row r="33" spans="1:11" ht="9.9499999999999993" customHeight="1">
      <c r="A33" s="324"/>
      <c r="B33" s="325"/>
      <c r="C33" s="326"/>
      <c r="D33" s="327"/>
      <c r="E33" s="327"/>
      <c r="F33" s="327"/>
      <c r="G33" s="328"/>
      <c r="H33" s="329"/>
      <c r="I33" s="327"/>
      <c r="J33" s="327"/>
      <c r="K33" s="328"/>
    </row>
    <row r="34" spans="1:11" ht="12.95" customHeight="1">
      <c r="A34" s="501" t="s">
        <v>37</v>
      </c>
      <c r="B34" s="501"/>
      <c r="C34" s="501"/>
      <c r="D34" s="457">
        <f>D4</f>
        <v>2026</v>
      </c>
      <c r="E34" s="320"/>
      <c r="F34" s="309"/>
      <c r="G34" s="309"/>
      <c r="H34" s="309"/>
      <c r="I34" s="457">
        <f>D34-1</f>
        <v>2025</v>
      </c>
      <c r="J34" s="458"/>
      <c r="K34" s="458"/>
    </row>
    <row r="35" spans="1:11" ht="24.95" customHeight="1">
      <c r="A35" s="271"/>
      <c r="B35" s="250"/>
      <c r="C35" s="131"/>
      <c r="D35" s="459"/>
      <c r="E35" s="321"/>
      <c r="F35" s="322"/>
      <c r="G35" s="322"/>
      <c r="H35" s="323"/>
      <c r="I35" s="459"/>
      <c r="J35" s="460"/>
      <c r="K35" s="460"/>
    </row>
    <row r="36" spans="1:11" ht="24.95" customHeight="1">
      <c r="A36" s="114"/>
      <c r="B36" s="115"/>
      <c r="C36" s="319"/>
      <c r="D36" s="330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4.95" customHeight="1">
      <c r="A37" s="114"/>
      <c r="B37" s="273"/>
      <c r="C37" s="273"/>
      <c r="D37" s="331"/>
      <c r="E37" s="455"/>
      <c r="F37" s="455"/>
      <c r="G37" s="456"/>
      <c r="H37" s="456"/>
      <c r="I37" s="453"/>
      <c r="J37" s="454"/>
      <c r="K37" s="456"/>
    </row>
    <row r="38" spans="1:11" ht="15" customHeight="1">
      <c r="A38" s="500" t="s">
        <v>155</v>
      </c>
      <c r="B38" s="500"/>
      <c r="C38" s="332" t="s">
        <v>180</v>
      </c>
      <c r="D38" s="310"/>
      <c r="E38" s="199" t="s">
        <v>247</v>
      </c>
      <c r="F38" s="199" t="s">
        <v>248</v>
      </c>
      <c r="G38" s="451"/>
      <c r="H38" s="451"/>
      <c r="I38" s="201" t="s">
        <v>247</v>
      </c>
      <c r="J38" s="199" t="s">
        <v>248</v>
      </c>
      <c r="K38" s="451"/>
    </row>
    <row r="39" spans="1:11" ht="11.1" customHeight="1">
      <c r="A39" s="418" t="str">
        <f>'3.1'!D5</f>
        <v>Leden</v>
      </c>
      <c r="B39" s="418"/>
      <c r="C39" s="145" t="s">
        <v>4</v>
      </c>
      <c r="D39" s="279">
        <v>80</v>
      </c>
      <c r="E39" s="275">
        <v>19908.257000000001</v>
      </c>
      <c r="F39" s="275">
        <v>217905.52445999999</v>
      </c>
      <c r="G39" s="276">
        <f>E39/$E$44</f>
        <v>0.3750571206806253</v>
      </c>
      <c r="H39" s="276">
        <f>(E39-I39)/I39</f>
        <v>0.29729586897923987</v>
      </c>
      <c r="I39" s="279">
        <v>15345.965</v>
      </c>
      <c r="J39" s="275">
        <v>166773.85990000001</v>
      </c>
      <c r="K39" s="276">
        <f>I39/$I$44</f>
        <v>0.35041009903115244</v>
      </c>
    </row>
    <row r="40" spans="1:11" ht="11.1" customHeight="1">
      <c r="A40" s="412"/>
      <c r="B40" s="412"/>
      <c r="C40" s="135" t="s">
        <v>5</v>
      </c>
      <c r="D40" s="280">
        <v>223</v>
      </c>
      <c r="E40" s="113">
        <v>4249.549</v>
      </c>
      <c r="F40" s="113">
        <v>46513.5461</v>
      </c>
      <c r="G40" s="274">
        <f t="shared" ref="G40" si="9">E40/$E$44</f>
        <v>8.0058420590573567E-2</v>
      </c>
      <c r="H40" s="274">
        <f>(E40-I40)/I40</f>
        <v>9.7961476323242147E-2</v>
      </c>
      <c r="I40" s="280">
        <v>3870.3989999999999</v>
      </c>
      <c r="J40" s="113">
        <v>42061.708500000001</v>
      </c>
      <c r="K40" s="274">
        <f t="shared" ref="K40:K43" si="10">I40/$I$44</f>
        <v>8.8376775059768042E-2</v>
      </c>
    </row>
    <row r="41" spans="1:11" ht="11.1" customHeight="1">
      <c r="A41" s="412"/>
      <c r="B41" s="412"/>
      <c r="C41" s="135" t="s">
        <v>6</v>
      </c>
      <c r="D41" s="280">
        <v>9487</v>
      </c>
      <c r="E41" s="113">
        <v>10218.696</v>
      </c>
      <c r="F41" s="113">
        <v>111848.62143</v>
      </c>
      <c r="G41" s="274">
        <f>E41/$E$44</f>
        <v>0.19251282012637383</v>
      </c>
      <c r="H41" s="274">
        <f t="shared" ref="H41:H43" si="11">(E41-I41)/I41</f>
        <v>0.1606857597714498</v>
      </c>
      <c r="I41" s="280">
        <v>8804.0159999999996</v>
      </c>
      <c r="J41" s="113">
        <v>95678.053239999994</v>
      </c>
      <c r="K41" s="274">
        <f t="shared" si="10"/>
        <v>0.20103109308745656</v>
      </c>
    </row>
    <row r="42" spans="1:11" ht="11.1" customHeight="1">
      <c r="A42" s="412"/>
      <c r="B42" s="412"/>
      <c r="C42" s="135" t="s">
        <v>7</v>
      </c>
      <c r="D42" s="280">
        <v>103751</v>
      </c>
      <c r="E42" s="113">
        <v>18657.2</v>
      </c>
      <c r="F42" s="113">
        <v>204212.4</v>
      </c>
      <c r="G42" s="274">
        <f>E42/$E$44</f>
        <v>0.35148811430164689</v>
      </c>
      <c r="H42" s="274">
        <f t="shared" si="11"/>
        <v>0.18988762611768017</v>
      </c>
      <c r="I42" s="280">
        <v>15679.8</v>
      </c>
      <c r="J42" s="113">
        <v>170401.8</v>
      </c>
      <c r="K42" s="274">
        <f t="shared" si="10"/>
        <v>0.35803289469177491</v>
      </c>
    </row>
    <row r="43" spans="1:11" ht="11.1" customHeight="1">
      <c r="A43" s="412"/>
      <c r="B43" s="412"/>
      <c r="C43" s="135" t="s">
        <v>90</v>
      </c>
      <c r="D43" s="280">
        <v>14</v>
      </c>
      <c r="E43" s="113">
        <v>46.898000000000003</v>
      </c>
      <c r="F43" s="113">
        <v>513.32393000000002</v>
      </c>
      <c r="G43" s="274">
        <f>E43/$E$44</f>
        <v>8.8352430078032275E-4</v>
      </c>
      <c r="H43" s="274">
        <f t="shared" si="11"/>
        <v>-0.50172120696982569</v>
      </c>
      <c r="I43" s="280">
        <v>94.12</v>
      </c>
      <c r="J43" s="113">
        <v>1022.86528</v>
      </c>
      <c r="K43" s="274">
        <f t="shared" si="10"/>
        <v>2.149138129847948E-3</v>
      </c>
    </row>
    <row r="44" spans="1:11" ht="11.1" customHeight="1">
      <c r="A44" s="417"/>
      <c r="B44" s="417"/>
      <c r="C44" s="285" t="s">
        <v>0</v>
      </c>
      <c r="D44" s="288">
        <v>113555</v>
      </c>
      <c r="E44" s="286">
        <v>53080.600000000006</v>
      </c>
      <c r="F44" s="286">
        <v>580993.41591999994</v>
      </c>
      <c r="G44" s="287">
        <f>SUM(G39:G43)</f>
        <v>0.99999999999999978</v>
      </c>
      <c r="H44" s="287">
        <f>(E44-I44)/I44</f>
        <v>0.21204357644716326</v>
      </c>
      <c r="I44" s="288">
        <v>43794.3</v>
      </c>
      <c r="J44" s="286">
        <v>475938.28692000004</v>
      </c>
      <c r="K44" s="287">
        <f>SUM(K39:K43)</f>
        <v>0.99999999999999989</v>
      </c>
    </row>
    <row r="45" spans="1:11" ht="11.1" customHeight="1">
      <c r="A45" s="418" t="str">
        <f>'3.1'!E5</f>
        <v>Únor</v>
      </c>
      <c r="B45" s="418"/>
      <c r="C45" s="145" t="s">
        <v>4</v>
      </c>
      <c r="D45" s="279">
        <v>81</v>
      </c>
      <c r="E45" s="275">
        <v>13643.383</v>
      </c>
      <c r="F45" s="275">
        <v>148811.76363999999</v>
      </c>
      <c r="G45" s="276">
        <f>E45/$E$50</f>
        <v>0.36016427760618774</v>
      </c>
      <c r="H45" s="276">
        <f>(E45-I45)/I45</f>
        <v>2.8116536296287555E-2</v>
      </c>
      <c r="I45" s="279">
        <v>13270.269</v>
      </c>
      <c r="J45" s="275">
        <v>143894.70517</v>
      </c>
      <c r="K45" s="276">
        <f>I45/$I$50</f>
        <v>0.3372951107179894</v>
      </c>
    </row>
    <row r="46" spans="1:11" ht="11.1" customHeight="1">
      <c r="A46" s="412"/>
      <c r="B46" s="412"/>
      <c r="C46" s="135" t="s">
        <v>5</v>
      </c>
      <c r="D46" s="280">
        <v>221</v>
      </c>
      <c r="E46" s="113">
        <v>3180.1770000000001</v>
      </c>
      <c r="F46" s="113">
        <v>34686.786789999998</v>
      </c>
      <c r="G46" s="274">
        <f t="shared" ref="G46:G49" si="12">E46/$E$50</f>
        <v>8.3951770016631011E-2</v>
      </c>
      <c r="H46" s="274">
        <f>(E46-I46)/I46</f>
        <v>-0.11042108867209481</v>
      </c>
      <c r="I46" s="280">
        <v>3574.924</v>
      </c>
      <c r="J46" s="113">
        <v>38764.336439999999</v>
      </c>
      <c r="K46" s="274">
        <f t="shared" ref="K46:K49" si="13">I46/$I$50</f>
        <v>9.0865105024502332E-2</v>
      </c>
    </row>
    <row r="47" spans="1:11" ht="11.1" customHeight="1">
      <c r="A47" s="412"/>
      <c r="B47" s="412"/>
      <c r="C47" s="135" t="s">
        <v>6</v>
      </c>
      <c r="D47" s="280">
        <v>9483</v>
      </c>
      <c r="E47" s="113">
        <v>7497.84</v>
      </c>
      <c r="F47" s="113">
        <v>81781.069440000007</v>
      </c>
      <c r="G47" s="274">
        <f t="shared" si="12"/>
        <v>0.19793141680525853</v>
      </c>
      <c r="H47" s="274">
        <f t="shared" ref="H47:H49" si="14">(E47-I47)/I47</f>
        <v>-9.6858837397153827E-2</v>
      </c>
      <c r="I47" s="280">
        <v>8301.9580000000005</v>
      </c>
      <c r="J47" s="113">
        <v>90020.903030000001</v>
      </c>
      <c r="K47" s="274">
        <f t="shared" si="13"/>
        <v>0.21101379653917327</v>
      </c>
    </row>
    <row r="48" spans="1:11" ht="11.1" customHeight="1">
      <c r="A48" s="412"/>
      <c r="B48" s="412"/>
      <c r="C48" s="135" t="s">
        <v>7</v>
      </c>
      <c r="D48" s="280">
        <v>103651</v>
      </c>
      <c r="E48" s="113">
        <v>13320.7</v>
      </c>
      <c r="F48" s="113">
        <v>145292.79999999999</v>
      </c>
      <c r="G48" s="274">
        <f t="shared" si="12"/>
        <v>0.35164594387687753</v>
      </c>
      <c r="H48" s="274">
        <f t="shared" si="14"/>
        <v>-5.3833477760572755E-2</v>
      </c>
      <c r="I48" s="280">
        <v>14078.6</v>
      </c>
      <c r="J48" s="113">
        <v>152659.5</v>
      </c>
      <c r="K48" s="274">
        <f t="shared" si="13"/>
        <v>0.35784074503344926</v>
      </c>
    </row>
    <row r="49" spans="1:11" ht="11.1" customHeight="1">
      <c r="A49" s="412"/>
      <c r="B49" s="412"/>
      <c r="C49" s="135" t="s">
        <v>90</v>
      </c>
      <c r="D49" s="280">
        <v>14</v>
      </c>
      <c r="E49" s="113">
        <v>238.9</v>
      </c>
      <c r="F49" s="113">
        <v>2605.7524400000002</v>
      </c>
      <c r="G49" s="274">
        <f t="shared" si="12"/>
        <v>6.3065916950450079E-3</v>
      </c>
      <c r="H49" s="274">
        <f t="shared" si="14"/>
        <v>1.0340743641921175</v>
      </c>
      <c r="I49" s="280">
        <v>117.449</v>
      </c>
      <c r="J49" s="113">
        <v>1273.54215</v>
      </c>
      <c r="K49" s="274">
        <f t="shared" si="13"/>
        <v>2.9852426848858255E-3</v>
      </c>
    </row>
    <row r="50" spans="1:11" ht="11.1" customHeight="1">
      <c r="A50" s="417"/>
      <c r="B50" s="417"/>
      <c r="C50" s="285" t="s">
        <v>0</v>
      </c>
      <c r="D50" s="288">
        <v>113450</v>
      </c>
      <c r="E50" s="286">
        <v>37881.000000000007</v>
      </c>
      <c r="F50" s="286">
        <v>413178.17230999999</v>
      </c>
      <c r="G50" s="287">
        <f>SUM(G45:G49)</f>
        <v>0.99999999999999978</v>
      </c>
      <c r="H50" s="287">
        <f t="shared" ref="H50" si="15">(E50-I50)/I50</f>
        <v>-3.7165253461843212E-2</v>
      </c>
      <c r="I50" s="288">
        <v>39343.199999999997</v>
      </c>
      <c r="J50" s="286">
        <v>426612.98679</v>
      </c>
      <c r="K50" s="287">
        <f>SUM(K45:K49)</f>
        <v>1</v>
      </c>
    </row>
    <row r="51" spans="1:11" ht="11.1" customHeight="1">
      <c r="A51" s="418" t="str">
        <f>'3.1'!F5</f>
        <v>Březen</v>
      </c>
      <c r="B51" s="418"/>
      <c r="C51" s="145" t="s">
        <v>4</v>
      </c>
      <c r="D51" s="279">
        <v>81</v>
      </c>
      <c r="E51" s="275">
        <v>11878.630999999999</v>
      </c>
      <c r="F51" s="275">
        <v>130359.16588</v>
      </c>
      <c r="G51" s="276">
        <f>E51/$E$56</f>
        <v>0.40097321473780145</v>
      </c>
      <c r="H51" s="276">
        <f>(E51-I51)/I51</f>
        <v>4.5602501496184888E-2</v>
      </c>
      <c r="I51" s="279">
        <v>11360.561</v>
      </c>
      <c r="J51" s="275">
        <v>123807.30787999999</v>
      </c>
      <c r="K51" s="276">
        <f>I51/$I$56</f>
        <v>0.38352286844734917</v>
      </c>
    </row>
    <row r="52" spans="1:11" ht="11.1" customHeight="1">
      <c r="A52" s="412"/>
      <c r="B52" s="412"/>
      <c r="C52" s="135" t="s">
        <v>5</v>
      </c>
      <c r="D52" s="280">
        <v>211</v>
      </c>
      <c r="E52" s="113">
        <v>2564.9299999999998</v>
      </c>
      <c r="F52" s="113">
        <v>28148.754789999999</v>
      </c>
      <c r="G52" s="274">
        <f t="shared" ref="G52:G55" si="16">E52/$E$56</f>
        <v>8.6581376900875959E-2</v>
      </c>
      <c r="H52" s="274">
        <f t="shared" ref="H52:H55" si="17">(E52-I52)/I52</f>
        <v>-4.7380820002800486E-2</v>
      </c>
      <c r="I52" s="280">
        <v>2692.5030000000002</v>
      </c>
      <c r="J52" s="113">
        <v>29342.759450000001</v>
      </c>
      <c r="K52" s="274">
        <f t="shared" ref="K52:K55" si="18">I52/$I$56</f>
        <v>9.0896609231101627E-2</v>
      </c>
    </row>
    <row r="53" spans="1:11" ht="11.1" customHeight="1">
      <c r="A53" s="412"/>
      <c r="B53" s="412"/>
      <c r="C53" s="135" t="s">
        <v>6</v>
      </c>
      <c r="D53" s="280">
        <v>9483</v>
      </c>
      <c r="E53" s="113">
        <v>5574.4210000000003</v>
      </c>
      <c r="F53" s="113">
        <v>61175.61591</v>
      </c>
      <c r="G53" s="274">
        <f t="shared" si="16"/>
        <v>0.18816928555756215</v>
      </c>
      <c r="H53" s="274">
        <f t="shared" si="17"/>
        <v>-4.2350211881622538E-2</v>
      </c>
      <c r="I53" s="280">
        <v>5820.9390000000003</v>
      </c>
      <c r="J53" s="113">
        <v>63436.169159999998</v>
      </c>
      <c r="K53" s="274">
        <f t="shared" si="18"/>
        <v>0.19650994544521566</v>
      </c>
    </row>
    <row r="54" spans="1:11" ht="11.1" customHeight="1">
      <c r="A54" s="412"/>
      <c r="B54" s="412"/>
      <c r="C54" s="135" t="s">
        <v>7</v>
      </c>
      <c r="D54" s="280">
        <v>103557</v>
      </c>
      <c r="E54" s="113">
        <v>9563.7999999999993</v>
      </c>
      <c r="F54" s="113">
        <v>104955.9</v>
      </c>
      <c r="G54" s="274">
        <f t="shared" si="16"/>
        <v>0.32283414066060184</v>
      </c>
      <c r="H54" s="274">
        <f t="shared" si="17"/>
        <v>-7.8016391741882697E-3</v>
      </c>
      <c r="I54" s="280">
        <v>9639</v>
      </c>
      <c r="J54" s="113">
        <v>105045.2</v>
      </c>
      <c r="K54" s="274">
        <f t="shared" si="18"/>
        <v>0.32540443460177704</v>
      </c>
    </row>
    <row r="55" spans="1:11" ht="11.1" customHeight="1">
      <c r="A55" s="412"/>
      <c r="B55" s="412"/>
      <c r="C55" s="135" t="s">
        <v>90</v>
      </c>
      <c r="D55" s="280">
        <v>14</v>
      </c>
      <c r="E55" s="113">
        <v>42.718000000000004</v>
      </c>
      <c r="F55" s="113">
        <v>468.79021</v>
      </c>
      <c r="G55" s="274">
        <f t="shared" si="16"/>
        <v>1.4419821431585344E-3</v>
      </c>
      <c r="H55" s="274">
        <f t="shared" si="17"/>
        <v>-0.60663738408979984</v>
      </c>
      <c r="I55" s="280">
        <v>108.59699999999999</v>
      </c>
      <c r="J55" s="113">
        <v>1183.49109</v>
      </c>
      <c r="K55" s="274">
        <f t="shared" si="18"/>
        <v>3.6661422745564044E-3</v>
      </c>
    </row>
    <row r="56" spans="1:11" ht="11.1" customHeight="1">
      <c r="A56" s="417"/>
      <c r="B56" s="417"/>
      <c r="C56" s="285" t="s">
        <v>0</v>
      </c>
      <c r="D56" s="288">
        <v>113346</v>
      </c>
      <c r="E56" s="286">
        <v>29624.5</v>
      </c>
      <c r="F56" s="286">
        <v>325108.22678999999</v>
      </c>
      <c r="G56" s="287">
        <f>SUM(G51:G55)</f>
        <v>0.99999999999999989</v>
      </c>
      <c r="H56" s="287">
        <f t="shared" ref="H56" si="19">(E56-I56)/I56</f>
        <v>9.7901531314912663E-5</v>
      </c>
      <c r="I56" s="288">
        <v>29621.600000000002</v>
      </c>
      <c r="J56" s="286">
        <v>322814.92758000002</v>
      </c>
      <c r="K56" s="287">
        <f>SUM(K51:K55)</f>
        <v>0.99999999999999989</v>
      </c>
    </row>
    <row r="57" spans="1:11" ht="11.1" customHeight="1">
      <c r="A57" s="476" t="str">
        <f>'3.1'!G5</f>
        <v>I. čtvrtletí</v>
      </c>
      <c r="B57" s="418"/>
      <c r="C57" s="145" t="s">
        <v>4</v>
      </c>
      <c r="D57" s="279">
        <f>D51</f>
        <v>81</v>
      </c>
      <c r="E57" s="275">
        <f>E39+E45+E51</f>
        <v>45430.271000000001</v>
      </c>
      <c r="F57" s="275">
        <f>F39+F45+F51</f>
        <v>497076.45397999999</v>
      </c>
      <c r="G57" s="276">
        <f>E57/$E$62</f>
        <v>0.37674550383501909</v>
      </c>
      <c r="H57" s="276">
        <f>(E57-I57)/I57</f>
        <v>0.13641603835425031</v>
      </c>
      <c r="I57" s="279">
        <f>I39+I45+I51</f>
        <v>39976.794999999998</v>
      </c>
      <c r="J57" s="275">
        <f>J39+J45+J51</f>
        <v>434475.87294999999</v>
      </c>
      <c r="K57" s="276">
        <f>I57/$I$62</f>
        <v>0.35453276054881599</v>
      </c>
    </row>
    <row r="58" spans="1:11" ht="11.1" customHeight="1">
      <c r="A58" s="412"/>
      <c r="B58" s="412"/>
      <c r="C58" s="135" t="s">
        <v>5</v>
      </c>
      <c r="D58" s="280">
        <f>D52</f>
        <v>211</v>
      </c>
      <c r="E58" s="113">
        <f t="shared" ref="E58:F59" si="20">E40+E46+E52</f>
        <v>9994.6560000000009</v>
      </c>
      <c r="F58" s="113">
        <f t="shared" si="20"/>
        <v>109349.08768</v>
      </c>
      <c r="G58" s="274">
        <f t="shared" ref="G58:G61" si="21">E58/$E$62</f>
        <v>8.2883980823660441E-2</v>
      </c>
      <c r="H58" s="274">
        <f t="shared" ref="H58:H61" si="22">(E58-I58)/I58</f>
        <v>-1.4122357199659973E-2</v>
      </c>
      <c r="I58" s="280">
        <f t="shared" ref="I58:J58" si="23">I40+I46+I52</f>
        <v>10137.826000000001</v>
      </c>
      <c r="J58" s="113">
        <f t="shared" si="23"/>
        <v>110168.80438999999</v>
      </c>
      <c r="K58" s="274">
        <f t="shared" ref="K58:K61" si="24">I58/$I$62</f>
        <v>8.9906943209018167E-2</v>
      </c>
    </row>
    <row r="59" spans="1:11" ht="11.1" customHeight="1">
      <c r="A59" s="412"/>
      <c r="B59" s="412"/>
      <c r="C59" s="135" t="s">
        <v>6</v>
      </c>
      <c r="D59" s="280">
        <f>D53</f>
        <v>9483</v>
      </c>
      <c r="E59" s="113">
        <f>E41+E47+E53</f>
        <v>23290.957000000002</v>
      </c>
      <c r="F59" s="113">
        <f t="shared" si="20"/>
        <v>254805.30677999998</v>
      </c>
      <c r="G59" s="274">
        <f t="shared" si="21"/>
        <v>0.1931479415952585</v>
      </c>
      <c r="H59" s="274">
        <f t="shared" si="22"/>
        <v>1.5878456903465447E-2</v>
      </c>
      <c r="I59" s="280">
        <f>I41+I47+I53</f>
        <v>22926.913</v>
      </c>
      <c r="J59" s="113">
        <f t="shared" ref="J59" si="25">J41+J47+J53</f>
        <v>249135.12542999999</v>
      </c>
      <c r="K59" s="274">
        <f t="shared" si="24"/>
        <v>0.20332649870387401</v>
      </c>
    </row>
    <row r="60" spans="1:11" ht="11.1" customHeight="1">
      <c r="A60" s="412"/>
      <c r="B60" s="412"/>
      <c r="C60" s="135" t="s">
        <v>7</v>
      </c>
      <c r="D60" s="280">
        <f>D54</f>
        <v>103557</v>
      </c>
      <c r="E60" s="113">
        <f t="shared" ref="E60:F61" si="26">E42+E48+E54</f>
        <v>41541.699999999997</v>
      </c>
      <c r="F60" s="113">
        <f t="shared" si="26"/>
        <v>454461.1</v>
      </c>
      <c r="G60" s="274">
        <f t="shared" si="21"/>
        <v>0.34449824648114497</v>
      </c>
      <c r="H60" s="274">
        <f t="shared" si="22"/>
        <v>5.442744952712604E-2</v>
      </c>
      <c r="I60" s="280">
        <f t="shared" ref="I60:J60" si="27">I42+I48+I54</f>
        <v>39397.4</v>
      </c>
      <c r="J60" s="113">
        <f t="shared" si="27"/>
        <v>428106.5</v>
      </c>
      <c r="K60" s="274">
        <f t="shared" si="24"/>
        <v>0.34939441694727963</v>
      </c>
    </row>
    <row r="61" spans="1:11" ht="11.1" customHeight="1">
      <c r="A61" s="412"/>
      <c r="B61" s="412"/>
      <c r="C61" s="135" t="s">
        <v>90</v>
      </c>
      <c r="D61" s="280">
        <f>D55</f>
        <v>14</v>
      </c>
      <c r="E61" s="113">
        <f>E43+E49+E55</f>
        <v>328.51600000000002</v>
      </c>
      <c r="F61" s="113">
        <f t="shared" si="26"/>
        <v>3587.8665800000003</v>
      </c>
      <c r="G61" s="274">
        <f t="shared" si="21"/>
        <v>2.7243272649169351E-3</v>
      </c>
      <c r="H61" s="274">
        <f t="shared" si="22"/>
        <v>2.6080220885415763E-2</v>
      </c>
      <c r="I61" s="280">
        <f>I43+I49+I55</f>
        <v>320.166</v>
      </c>
      <c r="J61" s="113">
        <f t="shared" ref="J61" si="28">J43+J49+J55</f>
        <v>3479.8985200000002</v>
      </c>
      <c r="K61" s="274">
        <f t="shared" si="24"/>
        <v>2.8393805910121666E-3</v>
      </c>
    </row>
    <row r="62" spans="1:11" ht="11.1" customHeight="1">
      <c r="A62" s="417"/>
      <c r="B62" s="417"/>
      <c r="C62" s="285" t="s">
        <v>0</v>
      </c>
      <c r="D62" s="288">
        <f>SUM(D57:D61)</f>
        <v>113346</v>
      </c>
      <c r="E62" s="286">
        <f>SUM(E57:E61)</f>
        <v>120586.1</v>
      </c>
      <c r="F62" s="286">
        <f>SUM(F57:F61)</f>
        <v>1319279.8150199999</v>
      </c>
      <c r="G62" s="287">
        <f>SUM(G57:G61)</f>
        <v>1</v>
      </c>
      <c r="H62" s="287">
        <f>(E62-I62)/I62</f>
        <v>6.9413466407589275E-2</v>
      </c>
      <c r="I62" s="288">
        <f>SUM(I57:I61)</f>
        <v>112759.1</v>
      </c>
      <c r="J62" s="286">
        <f>SUM(J57:J61)</f>
        <v>1225366.20129</v>
      </c>
      <c r="K62" s="287">
        <f>SUM(K57:K61)</f>
        <v>0.99999999999999989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20"/>
  <sheetViews>
    <sheetView showGridLines="0" topLeftCell="A11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16" s="91" customFormat="1" ht="18">
      <c r="A1" s="485" t="s">
        <v>289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502"/>
      <c r="B3" s="502"/>
      <c r="C3" s="502"/>
      <c r="D3" s="267"/>
      <c r="E3" s="267"/>
      <c r="F3" s="268"/>
      <c r="G3" s="269"/>
      <c r="H3" s="269"/>
      <c r="I3" s="269"/>
    </row>
    <row r="4" spans="1:16" ht="12.95" customHeight="1">
      <c r="A4" s="463" t="s">
        <v>38</v>
      </c>
      <c r="B4" s="463"/>
      <c r="C4" s="463"/>
      <c r="D4" s="457">
        <f>'3.1'!A4</f>
        <v>2026</v>
      </c>
      <c r="E4" s="320"/>
      <c r="F4" s="309"/>
      <c r="G4" s="309"/>
      <c r="H4" s="309"/>
      <c r="I4" s="457">
        <f>D4-1</f>
        <v>2025</v>
      </c>
      <c r="J4" s="458"/>
      <c r="K4" s="458"/>
    </row>
    <row r="5" spans="1:16" ht="24.95" customHeight="1">
      <c r="A5" s="131"/>
      <c r="B5" s="131"/>
      <c r="C5" s="131"/>
      <c r="D5" s="459"/>
      <c r="E5" s="321"/>
      <c r="F5" s="322"/>
      <c r="G5" s="322"/>
      <c r="H5" s="323"/>
      <c r="I5" s="459"/>
      <c r="J5" s="460"/>
      <c r="K5" s="460"/>
    </row>
    <row r="6" spans="1:16" ht="24.95" customHeight="1">
      <c r="A6" s="271"/>
      <c r="B6" s="250"/>
      <c r="C6" s="272"/>
      <c r="D6" s="330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4.95" customHeight="1">
      <c r="A7" s="271"/>
      <c r="B7" s="273"/>
      <c r="D7" s="331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0" t="s">
        <v>180</v>
      </c>
      <c r="D8" s="310"/>
      <c r="E8" s="199" t="s">
        <v>247</v>
      </c>
      <c r="F8" s="199" t="s">
        <v>248</v>
      </c>
      <c r="G8" s="451"/>
      <c r="H8" s="451"/>
      <c r="I8" s="201" t="s">
        <v>247</v>
      </c>
      <c r="J8" s="199" t="s">
        <v>248</v>
      </c>
      <c r="K8" s="451"/>
    </row>
    <row r="9" spans="1:16" ht="11.1" customHeight="1">
      <c r="A9" s="418" t="str">
        <f>'3.1'!D5</f>
        <v>Leden</v>
      </c>
      <c r="B9" s="418"/>
      <c r="C9" s="145" t="s">
        <v>4</v>
      </c>
      <c r="D9" s="279">
        <v>83</v>
      </c>
      <c r="E9" s="275">
        <v>15939.275</v>
      </c>
      <c r="F9" s="275">
        <v>174463.39296999999</v>
      </c>
      <c r="G9" s="276">
        <f>E9/$E$14</f>
        <v>0.33862155807077887</v>
      </c>
      <c r="H9" s="276">
        <f>(E9-I9)/I9</f>
        <v>7.1428619442433755E-2</v>
      </c>
      <c r="I9" s="279">
        <v>14876.656000000001</v>
      </c>
      <c r="J9" s="275">
        <v>161673.50761</v>
      </c>
      <c r="K9" s="276">
        <f>I9/$I$14</f>
        <v>0.35686388147920706</v>
      </c>
    </row>
    <row r="10" spans="1:16" ht="11.1" customHeight="1">
      <c r="A10" s="412"/>
      <c r="B10" s="412"/>
      <c r="C10" s="135" t="s">
        <v>5</v>
      </c>
      <c r="D10" s="280">
        <v>245</v>
      </c>
      <c r="E10" s="113">
        <v>5042.8760000000002</v>
      </c>
      <c r="F10" s="113">
        <v>55196.335350000001</v>
      </c>
      <c r="G10" s="274">
        <f>E10/$E$14</f>
        <v>0.10713326222665318</v>
      </c>
      <c r="H10" s="274">
        <f>(E10-I10)/I10</f>
        <v>5.7634196799041644E-2</v>
      </c>
      <c r="I10" s="280">
        <v>4768.0720000000001</v>
      </c>
      <c r="J10" s="113">
        <v>51817.682280000001</v>
      </c>
      <c r="K10" s="274">
        <f>I10/$I$14</f>
        <v>0.1143773628355946</v>
      </c>
      <c r="L10" s="68"/>
      <c r="N10" s="68"/>
      <c r="O10" s="68"/>
      <c r="P10" s="68"/>
    </row>
    <row r="11" spans="1:16" ht="11.1" customHeight="1">
      <c r="A11" s="412"/>
      <c r="B11" s="412"/>
      <c r="C11" s="135" t="s">
        <v>6</v>
      </c>
      <c r="D11" s="280">
        <v>8632</v>
      </c>
      <c r="E11" s="113">
        <v>11216.003000000001</v>
      </c>
      <c r="F11" s="113">
        <v>122756.2181</v>
      </c>
      <c r="G11" s="274">
        <f>E11/$E$14</f>
        <v>0.23827811560980849</v>
      </c>
      <c r="H11" s="274">
        <f t="shared" ref="H11:H13" si="0">(E11-I11)/I11</f>
        <v>0.17301789730323089</v>
      </c>
      <c r="I11" s="280">
        <v>9561.6640000000007</v>
      </c>
      <c r="J11" s="113">
        <v>103906.43794</v>
      </c>
      <c r="K11" s="274">
        <f>I11/$I$14</f>
        <v>0.22936690398971385</v>
      </c>
      <c r="L11" s="68"/>
      <c r="N11" s="68"/>
      <c r="O11" s="68"/>
      <c r="P11" s="68"/>
    </row>
    <row r="12" spans="1:16" ht="11.1" customHeight="1">
      <c r="A12" s="412"/>
      <c r="B12" s="412"/>
      <c r="C12" s="135" t="s">
        <v>7</v>
      </c>
      <c r="D12" s="280">
        <v>81429</v>
      </c>
      <c r="E12" s="113">
        <v>14669.6</v>
      </c>
      <c r="F12" s="113">
        <v>160566</v>
      </c>
      <c r="G12" s="274">
        <f>E12/$E$14</f>
        <v>0.31164797697982488</v>
      </c>
      <c r="H12" s="274">
        <f t="shared" si="0"/>
        <v>0.19686375614969767</v>
      </c>
      <c r="I12" s="280">
        <v>12256.7</v>
      </c>
      <c r="J12" s="113">
        <v>133201.1</v>
      </c>
      <c r="K12" s="274">
        <f>I12/$I$14</f>
        <v>0.29401590896006446</v>
      </c>
      <c r="L12" s="68"/>
      <c r="N12" s="68"/>
      <c r="O12" s="68"/>
      <c r="P12" s="68"/>
    </row>
    <row r="13" spans="1:16" ht="11.1" customHeight="1">
      <c r="A13" s="412"/>
      <c r="B13" s="412"/>
      <c r="C13" s="135" t="s">
        <v>90</v>
      </c>
      <c r="D13" s="280">
        <v>8</v>
      </c>
      <c r="E13" s="113">
        <v>203.304</v>
      </c>
      <c r="F13" s="113">
        <v>2225.2616899999998</v>
      </c>
      <c r="G13" s="274">
        <f>E13/$E$14</f>
        <v>4.3190871129346617E-3</v>
      </c>
      <c r="H13" s="274">
        <f t="shared" si="0"/>
        <v>-9.2830242561622089E-2</v>
      </c>
      <c r="I13" s="280">
        <v>224.108</v>
      </c>
      <c r="J13" s="113">
        <v>2435.51649</v>
      </c>
      <c r="K13" s="274">
        <f>I13/$I$14</f>
        <v>5.3759427354199843E-3</v>
      </c>
      <c r="L13" s="68"/>
      <c r="N13" s="68"/>
      <c r="O13" s="68"/>
      <c r="P13" s="68"/>
    </row>
    <row r="14" spans="1:16" ht="11.1" customHeight="1">
      <c r="A14" s="417"/>
      <c r="B14" s="417"/>
      <c r="C14" s="285" t="s">
        <v>0</v>
      </c>
      <c r="D14" s="288">
        <v>90397</v>
      </c>
      <c r="E14" s="286">
        <v>47071.057999999997</v>
      </c>
      <c r="F14" s="286">
        <v>515207.20811000001</v>
      </c>
      <c r="G14" s="287">
        <f>SUM(G9:G13)</f>
        <v>1</v>
      </c>
      <c r="H14" s="287">
        <f>(E14-I14)/I14</f>
        <v>0.12914894739872174</v>
      </c>
      <c r="I14" s="288">
        <v>41687.200000000004</v>
      </c>
      <c r="J14" s="286">
        <v>453034.24432</v>
      </c>
      <c r="K14" s="287">
        <f>SUM(K9:K13)</f>
        <v>0.99999999999999989</v>
      </c>
      <c r="L14" s="68"/>
    </row>
    <row r="15" spans="1:16" ht="11.1" customHeight="1">
      <c r="A15" s="418" t="str">
        <f>'3.1'!E5</f>
        <v>Únor</v>
      </c>
      <c r="B15" s="418"/>
      <c r="C15" s="145" t="s">
        <v>4</v>
      </c>
      <c r="D15" s="279">
        <v>82</v>
      </c>
      <c r="E15" s="275">
        <v>12838.949000000001</v>
      </c>
      <c r="F15" s="275">
        <v>140038.39292000001</v>
      </c>
      <c r="G15" s="276">
        <f>E15/$E$20</f>
        <v>0.35740961598537907</v>
      </c>
      <c r="H15" s="276">
        <f>(E15-I15)/I15</f>
        <v>-6.6728894679584774E-2</v>
      </c>
      <c r="I15" s="279">
        <v>13756.933999999999</v>
      </c>
      <c r="J15" s="275">
        <v>149171.43494000001</v>
      </c>
      <c r="K15" s="276">
        <f>I15/$I$20</f>
        <v>0.35798406928119197</v>
      </c>
      <c r="L15" s="68"/>
      <c r="M15" s="68"/>
    </row>
    <row r="16" spans="1:16" ht="11.1" customHeight="1">
      <c r="A16" s="412"/>
      <c r="B16" s="412"/>
      <c r="C16" s="135" t="s">
        <v>5</v>
      </c>
      <c r="D16" s="280">
        <v>244</v>
      </c>
      <c r="E16" s="113">
        <v>3992.8539999999998</v>
      </c>
      <c r="F16" s="113">
        <v>43551.315139999999</v>
      </c>
      <c r="G16" s="274">
        <f>E16/$E$20</f>
        <v>0.11115274426479026</v>
      </c>
      <c r="H16" s="274">
        <f>(E16-I16)/I16</f>
        <v>-9.45521247962781E-2</v>
      </c>
      <c r="I16" s="280">
        <v>4409.8109999999997</v>
      </c>
      <c r="J16" s="113">
        <v>47817.014750000002</v>
      </c>
      <c r="K16" s="274">
        <f>I16/$I$20</f>
        <v>0.11475246494174955</v>
      </c>
      <c r="L16" s="86"/>
      <c r="M16" s="68"/>
    </row>
    <row r="17" spans="1:20" ht="11.1" customHeight="1">
      <c r="A17" s="412"/>
      <c r="B17" s="412"/>
      <c r="C17" s="135" t="s">
        <v>6</v>
      </c>
      <c r="D17" s="280">
        <v>8628</v>
      </c>
      <c r="E17" s="113">
        <v>8424.9679999999989</v>
      </c>
      <c r="F17" s="113">
        <v>91888.614319999993</v>
      </c>
      <c r="G17" s="274">
        <f>E17/$E$20</f>
        <v>0.23453357261323388</v>
      </c>
      <c r="H17" s="274">
        <f t="shared" ref="H17:H20" si="1">(E17-I17)/I17</f>
        <v>-6.8493877687308802E-2</v>
      </c>
      <c r="I17" s="280">
        <v>9044.4580000000005</v>
      </c>
      <c r="J17" s="113">
        <v>98067.889230000001</v>
      </c>
      <c r="K17" s="274">
        <f>I17/$I$20</f>
        <v>0.23535563078828695</v>
      </c>
      <c r="L17" s="68"/>
      <c r="M17" s="68"/>
      <c r="N17" s="68"/>
      <c r="O17" s="68"/>
    </row>
    <row r="18" spans="1:20" ht="11.1" customHeight="1">
      <c r="A18" s="412"/>
      <c r="B18" s="412"/>
      <c r="C18" s="135" t="s">
        <v>7</v>
      </c>
      <c r="D18" s="280">
        <v>81350</v>
      </c>
      <c r="E18" s="113">
        <v>10473.700000000001</v>
      </c>
      <c r="F18" s="113">
        <v>114239.3</v>
      </c>
      <c r="G18" s="274">
        <f>E18/$E$20</f>
        <v>0.29156600707316971</v>
      </c>
      <c r="H18" s="274">
        <f t="shared" si="1"/>
        <v>-4.8286703437497129E-2</v>
      </c>
      <c r="I18" s="280">
        <v>11005.1</v>
      </c>
      <c r="J18" s="113">
        <v>119332.1</v>
      </c>
      <c r="K18" s="274">
        <f>I18/$I$20</f>
        <v>0.28637561834973158</v>
      </c>
      <c r="L18" s="68"/>
      <c r="M18" s="68"/>
      <c r="N18" s="68"/>
      <c r="O18" s="68"/>
    </row>
    <row r="19" spans="1:20" ht="11.1" customHeight="1">
      <c r="A19" s="412"/>
      <c r="B19" s="412"/>
      <c r="C19" s="135" t="s">
        <v>90</v>
      </c>
      <c r="D19" s="280">
        <v>8</v>
      </c>
      <c r="E19" s="113">
        <v>191.755</v>
      </c>
      <c r="F19" s="113">
        <v>2091.52351</v>
      </c>
      <c r="G19" s="274">
        <f>E19/$E$20</f>
        <v>5.3380600634270262E-3</v>
      </c>
      <c r="H19" s="274">
        <f t="shared" si="1"/>
        <v>-9.8035249791859777E-2</v>
      </c>
      <c r="I19" s="280">
        <v>212.59700000000001</v>
      </c>
      <c r="J19" s="113">
        <v>2305.2645499999999</v>
      </c>
      <c r="K19" s="274">
        <f>I19/$I$20</f>
        <v>5.5322166390398891E-3</v>
      </c>
      <c r="L19" s="68"/>
      <c r="M19" s="68"/>
      <c r="N19" s="68"/>
      <c r="O19" s="68"/>
    </row>
    <row r="20" spans="1:20" ht="11.1" customHeight="1">
      <c r="A20" s="417"/>
      <c r="B20" s="417"/>
      <c r="C20" s="285" t="s">
        <v>0</v>
      </c>
      <c r="D20" s="288">
        <v>90312</v>
      </c>
      <c r="E20" s="286">
        <v>35922.226000000002</v>
      </c>
      <c r="F20" s="286">
        <v>391809.14589000004</v>
      </c>
      <c r="G20" s="287">
        <f>SUM(G15:G19)</f>
        <v>1</v>
      </c>
      <c r="H20" s="287">
        <f t="shared" si="1"/>
        <v>-6.5228877225213283E-2</v>
      </c>
      <c r="I20" s="288">
        <v>38428.9</v>
      </c>
      <c r="J20" s="286">
        <v>416693.70347000001</v>
      </c>
      <c r="K20" s="287">
        <f>SUM(K15:K19)</f>
        <v>1</v>
      </c>
      <c r="L20" s="68"/>
      <c r="M20" s="68"/>
      <c r="N20" s="68"/>
      <c r="O20" s="68"/>
    </row>
    <row r="21" spans="1:20" ht="11.1" customHeight="1">
      <c r="A21" s="418" t="str">
        <f>'3.1'!F5</f>
        <v>Březen</v>
      </c>
      <c r="B21" s="418"/>
      <c r="C21" s="145" t="s">
        <v>4</v>
      </c>
      <c r="D21" s="279">
        <v>82</v>
      </c>
      <c r="E21" s="275">
        <v>11058.842000000001</v>
      </c>
      <c r="F21" s="275">
        <v>121363.0558</v>
      </c>
      <c r="G21" s="276">
        <f>E21/$E$26</f>
        <v>0.39310829614676207</v>
      </c>
      <c r="H21" s="276">
        <f>(E21-I21)/I21</f>
        <v>-1.5538231605795781E-2</v>
      </c>
      <c r="I21" s="279">
        <v>11233.388999999999</v>
      </c>
      <c r="J21" s="275">
        <v>122420.95409</v>
      </c>
      <c r="K21" s="276">
        <f>I21/$I$26</f>
        <v>0.39172803515073318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" customHeight="1">
      <c r="A22" s="412"/>
      <c r="B22" s="412"/>
      <c r="C22" s="135" t="s">
        <v>5</v>
      </c>
      <c r="D22" s="280">
        <v>233</v>
      </c>
      <c r="E22" s="113">
        <v>3248.7269999999999</v>
      </c>
      <c r="F22" s="113">
        <v>35652.288180000003</v>
      </c>
      <c r="G22" s="274">
        <f>E22/$E$26</f>
        <v>0.11548239278723592</v>
      </c>
      <c r="H22" s="274">
        <f t="shared" ref="H22:H26" si="2">(E22-I22)/I22</f>
        <v>-2.9872812775101579E-2</v>
      </c>
      <c r="I22" s="280">
        <v>3348.7640000000001</v>
      </c>
      <c r="J22" s="113">
        <v>36494.7448</v>
      </c>
      <c r="K22" s="274">
        <f>I22/$I$26</f>
        <v>0.11677729151047027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" customHeight="1">
      <c r="A23" s="412"/>
      <c r="B23" s="412"/>
      <c r="C23" s="135" t="s">
        <v>6</v>
      </c>
      <c r="D23" s="280">
        <v>8628</v>
      </c>
      <c r="E23" s="113">
        <v>6085.49</v>
      </c>
      <c r="F23" s="113">
        <v>66778.862450000001</v>
      </c>
      <c r="G23" s="274">
        <f>E23/$E$26</f>
        <v>0.2163207146931079</v>
      </c>
      <c r="H23" s="274">
        <f t="shared" si="2"/>
        <v>-4.0348178117221703E-2</v>
      </c>
      <c r="I23" s="280">
        <v>6341.3519999999999</v>
      </c>
      <c r="J23" s="113">
        <v>69102.743730000002</v>
      </c>
      <c r="K23" s="274">
        <f>I23/$I$26</f>
        <v>0.22113409934964171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" customHeight="1">
      <c r="A24" s="412"/>
      <c r="B24" s="412"/>
      <c r="C24" s="135" t="s">
        <v>7</v>
      </c>
      <c r="D24" s="280">
        <v>81276</v>
      </c>
      <c r="E24" s="113">
        <v>7519.7</v>
      </c>
      <c r="F24" s="113">
        <v>82523.600000000006</v>
      </c>
      <c r="G24" s="274">
        <f>E24/$E$26</f>
        <v>0.26730253081966504</v>
      </c>
      <c r="H24" s="274">
        <f t="shared" si="2"/>
        <v>-1.990789281590508E-3</v>
      </c>
      <c r="I24" s="280">
        <v>7534.7</v>
      </c>
      <c r="J24" s="113">
        <v>82112.600000000006</v>
      </c>
      <c r="K24" s="274">
        <f>I24/$I$26</f>
        <v>0.26274824333513508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" customHeight="1">
      <c r="A25" s="412"/>
      <c r="B25" s="412"/>
      <c r="C25" s="135" t="s">
        <v>90</v>
      </c>
      <c r="D25" s="280">
        <v>8</v>
      </c>
      <c r="E25" s="113">
        <v>219.036</v>
      </c>
      <c r="F25" s="113">
        <v>2403.7612199999999</v>
      </c>
      <c r="G25" s="274">
        <f>E25/$E$26</f>
        <v>7.786065553229006E-3</v>
      </c>
      <c r="H25" s="274">
        <f t="shared" si="2"/>
        <v>3.3944891087748868E-3</v>
      </c>
      <c r="I25" s="280">
        <v>218.29499999999999</v>
      </c>
      <c r="J25" s="113">
        <v>2378.9779800000001</v>
      </c>
      <c r="K25" s="274">
        <f>I25/$I$26</f>
        <v>7.6123306540198422E-3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" customHeight="1">
      <c r="A26" s="417"/>
      <c r="B26" s="417"/>
      <c r="C26" s="285" t="s">
        <v>0</v>
      </c>
      <c r="D26" s="288">
        <v>90227</v>
      </c>
      <c r="E26" s="286">
        <v>28131.795000000002</v>
      </c>
      <c r="F26" s="286">
        <v>308721.56764999998</v>
      </c>
      <c r="G26" s="287">
        <f>SUM(G21:G25)</f>
        <v>0.99999999999999989</v>
      </c>
      <c r="H26" s="287">
        <f t="shared" si="2"/>
        <v>-1.8994821543772585E-2</v>
      </c>
      <c r="I26" s="288">
        <v>28676.499999999996</v>
      </c>
      <c r="J26" s="286">
        <v>312510.02059999999</v>
      </c>
      <c r="K26" s="287">
        <f>SUM(K21:K25)</f>
        <v>1</v>
      </c>
    </row>
    <row r="27" spans="1:20" ht="11.1" customHeight="1">
      <c r="A27" s="476" t="str">
        <f>'3.1'!G5</f>
        <v>I. čtvrtletí</v>
      </c>
      <c r="B27" s="418"/>
      <c r="C27" s="145" t="s">
        <v>4</v>
      </c>
      <c r="D27" s="279">
        <f>D21</f>
        <v>82</v>
      </c>
      <c r="E27" s="275">
        <f>E9+E15+E21</f>
        <v>39837.066000000006</v>
      </c>
      <c r="F27" s="275">
        <f>F9+F15+F21</f>
        <v>435864.84169000003</v>
      </c>
      <c r="G27" s="276">
        <f>E27/$E$32</f>
        <v>0.35848852804865056</v>
      </c>
      <c r="H27" s="276">
        <f>(E27-I27)/I27</f>
        <v>-7.5032020861157274E-4</v>
      </c>
      <c r="I27" s="279">
        <f>I9+I15+I21</f>
        <v>39866.978999999999</v>
      </c>
      <c r="J27" s="275">
        <f>J9+J15+J21</f>
        <v>433265.89664000005</v>
      </c>
      <c r="K27" s="276">
        <f>I27/$I$32</f>
        <v>0.36644936328389982</v>
      </c>
    </row>
    <row r="28" spans="1:20" ht="11.1" customHeight="1">
      <c r="A28" s="412"/>
      <c r="B28" s="412"/>
      <c r="C28" s="135" t="s">
        <v>5</v>
      </c>
      <c r="D28" s="280">
        <f>D22</f>
        <v>233</v>
      </c>
      <c r="E28" s="113">
        <f t="shared" ref="E28:F31" si="3">E10+E16+E22</f>
        <v>12284.456999999999</v>
      </c>
      <c r="F28" s="113">
        <f t="shared" si="3"/>
        <v>134399.93867</v>
      </c>
      <c r="G28" s="274">
        <f>E28/$E$32</f>
        <v>0.11054621612462474</v>
      </c>
      <c r="H28" s="274">
        <f t="shared" ref="H28:H31" si="4">(E28-I28)/I28</f>
        <v>-1.9333984585021221E-2</v>
      </c>
      <c r="I28" s="280">
        <f t="shared" ref="I28:J28" si="5">I10+I16+I22</f>
        <v>12526.647000000001</v>
      </c>
      <c r="J28" s="113">
        <f t="shared" si="5"/>
        <v>136129.44183000003</v>
      </c>
      <c r="K28" s="274">
        <f>I28/$I$32</f>
        <v>0.11514245454194495</v>
      </c>
    </row>
    <row r="29" spans="1:20" ht="11.1" customHeight="1">
      <c r="A29" s="412"/>
      <c r="B29" s="412"/>
      <c r="C29" s="135" t="s">
        <v>6</v>
      </c>
      <c r="D29" s="280">
        <f>D23</f>
        <v>8628</v>
      </c>
      <c r="E29" s="113">
        <f t="shared" si="3"/>
        <v>25726.460999999996</v>
      </c>
      <c r="F29" s="113">
        <f t="shared" si="3"/>
        <v>281423.69487000001</v>
      </c>
      <c r="G29" s="274">
        <f>E29/$E$32</f>
        <v>0.23150904576634762</v>
      </c>
      <c r="H29" s="274">
        <f t="shared" si="4"/>
        <v>3.1225085152909414E-2</v>
      </c>
      <c r="I29" s="280">
        <f t="shared" ref="I29:J29" si="6">I11+I17+I23</f>
        <v>24947.474000000002</v>
      </c>
      <c r="J29" s="113">
        <f t="shared" si="6"/>
        <v>271077.07089999999</v>
      </c>
      <c r="K29" s="274">
        <f>I29/$I$32</f>
        <v>0.22931223263346956</v>
      </c>
    </row>
    <row r="30" spans="1:20" ht="11.1" customHeight="1">
      <c r="A30" s="412"/>
      <c r="B30" s="412"/>
      <c r="C30" s="135" t="s">
        <v>7</v>
      </c>
      <c r="D30" s="280">
        <f>D24</f>
        <v>81276</v>
      </c>
      <c r="E30" s="113">
        <f t="shared" si="3"/>
        <v>32663.000000000004</v>
      </c>
      <c r="F30" s="113">
        <f t="shared" si="3"/>
        <v>357328.9</v>
      </c>
      <c r="G30" s="274">
        <f>E30/$E$32</f>
        <v>0.2939300497595147</v>
      </c>
      <c r="H30" s="274">
        <f t="shared" si="4"/>
        <v>6.0607536570714195E-2</v>
      </c>
      <c r="I30" s="280">
        <f t="shared" ref="I30:J30" si="7">I12+I18+I24</f>
        <v>30796.500000000004</v>
      </c>
      <c r="J30" s="113">
        <f t="shared" si="7"/>
        <v>334645.80000000005</v>
      </c>
      <c r="K30" s="274">
        <f>I30/$I$32</f>
        <v>0.28307531946106629</v>
      </c>
    </row>
    <row r="31" spans="1:20" ht="11.1" customHeight="1">
      <c r="A31" s="412"/>
      <c r="B31" s="412"/>
      <c r="C31" s="135" t="s">
        <v>90</v>
      </c>
      <c r="D31" s="280">
        <f>D25</f>
        <v>8</v>
      </c>
      <c r="E31" s="113">
        <f>E13+E19+E25</f>
        <v>614.09500000000003</v>
      </c>
      <c r="F31" s="113">
        <f t="shared" si="3"/>
        <v>6720.5464200000006</v>
      </c>
      <c r="G31" s="274">
        <f>E31/$E$32</f>
        <v>5.5261603008624188E-3</v>
      </c>
      <c r="H31" s="274">
        <f t="shared" si="4"/>
        <v>-6.2450381679389273E-2</v>
      </c>
      <c r="I31" s="280">
        <f>I13+I19+I25</f>
        <v>655</v>
      </c>
      <c r="J31" s="113">
        <f t="shared" ref="J31" si="8">J13+J19+J25</f>
        <v>7119.7590199999995</v>
      </c>
      <c r="K31" s="274">
        <f>I31/$I$32</f>
        <v>6.0206300796193856E-3</v>
      </c>
    </row>
    <row r="32" spans="1:20" ht="11.1" customHeight="1">
      <c r="A32" s="417"/>
      <c r="B32" s="417"/>
      <c r="C32" s="285" t="s">
        <v>0</v>
      </c>
      <c r="D32" s="288">
        <f>SUM(D27:D31)</f>
        <v>90227</v>
      </c>
      <c r="E32" s="286">
        <f>SUM(E27:E31)</f>
        <v>111125.079</v>
      </c>
      <c r="F32" s="286">
        <f>SUM(F27:F31)</f>
        <v>1215737.9216499999</v>
      </c>
      <c r="G32" s="287">
        <f>SUM(G27:G31)</f>
        <v>1.0000000000000002</v>
      </c>
      <c r="H32" s="287">
        <f>(E32-I32)/I32</f>
        <v>2.1439684316764119E-2</v>
      </c>
      <c r="I32" s="288">
        <f>SUM(I27:I31)</f>
        <v>108792.6</v>
      </c>
      <c r="J32" s="286">
        <f>SUM(J27:J31)</f>
        <v>1182237.9683900001</v>
      </c>
      <c r="K32" s="287">
        <f>SUM(K27:K31)</f>
        <v>0.99999999999999989</v>
      </c>
    </row>
    <row r="33" spans="1:11" ht="9.9499999999999993" customHeight="1">
      <c r="A33" s="324"/>
      <c r="B33" s="325"/>
      <c r="C33" s="326"/>
      <c r="D33" s="327"/>
      <c r="E33" s="327"/>
      <c r="F33" s="327"/>
      <c r="G33" s="328"/>
      <c r="H33" s="329"/>
      <c r="I33" s="327"/>
      <c r="J33" s="327"/>
      <c r="K33" s="328"/>
    </row>
    <row r="34" spans="1:11" ht="12.95" customHeight="1">
      <c r="A34" s="501" t="s">
        <v>39</v>
      </c>
      <c r="B34" s="501"/>
      <c r="C34" s="501"/>
      <c r="D34" s="457">
        <f>D4</f>
        <v>2026</v>
      </c>
      <c r="E34" s="320"/>
      <c r="F34" s="309"/>
      <c r="G34" s="309"/>
      <c r="H34" s="309"/>
      <c r="I34" s="457">
        <f>D34-1</f>
        <v>2025</v>
      </c>
      <c r="J34" s="458"/>
      <c r="K34" s="458"/>
    </row>
    <row r="35" spans="1:11" ht="24.95" customHeight="1">
      <c r="A35" s="271"/>
      <c r="B35" s="250"/>
      <c r="C35" s="131"/>
      <c r="D35" s="459"/>
      <c r="E35" s="321"/>
      <c r="F35" s="322"/>
      <c r="G35" s="322"/>
      <c r="H35" s="323"/>
      <c r="I35" s="459"/>
      <c r="J35" s="460"/>
      <c r="K35" s="460"/>
    </row>
    <row r="36" spans="1:11" ht="24.95" customHeight="1">
      <c r="A36" s="114"/>
      <c r="B36" s="115"/>
      <c r="C36" s="319"/>
      <c r="D36" s="330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4.95" customHeight="1">
      <c r="A37" s="114"/>
      <c r="B37" s="273"/>
      <c r="C37" s="273"/>
      <c r="D37" s="331"/>
      <c r="E37" s="455"/>
      <c r="F37" s="455"/>
      <c r="G37" s="456"/>
      <c r="H37" s="456"/>
      <c r="I37" s="453"/>
      <c r="J37" s="454"/>
      <c r="K37" s="456"/>
    </row>
    <row r="38" spans="1:11" ht="15" customHeight="1">
      <c r="A38" s="500" t="s">
        <v>155</v>
      </c>
      <c r="B38" s="500"/>
      <c r="C38" s="332" t="s">
        <v>180</v>
      </c>
      <c r="D38" s="310"/>
      <c r="E38" s="199" t="s">
        <v>247</v>
      </c>
      <c r="F38" s="199" t="s">
        <v>248</v>
      </c>
      <c r="G38" s="451"/>
      <c r="H38" s="451"/>
      <c r="I38" s="201" t="s">
        <v>247</v>
      </c>
      <c r="J38" s="199" t="s">
        <v>248</v>
      </c>
      <c r="K38" s="451"/>
    </row>
    <row r="39" spans="1:11" ht="11.1" customHeight="1">
      <c r="A39" s="418" t="str">
        <f>'3.1'!D5</f>
        <v>Leden</v>
      </c>
      <c r="B39" s="418"/>
      <c r="C39" s="145" t="s">
        <v>4</v>
      </c>
      <c r="D39" s="279">
        <v>185</v>
      </c>
      <c r="E39" s="275">
        <v>59800.476000000002</v>
      </c>
      <c r="F39" s="275">
        <v>654374.28665799997</v>
      </c>
      <c r="G39" s="276">
        <f>E39/$E$44</f>
        <v>0.46016772195059213</v>
      </c>
      <c r="H39" s="276">
        <f>(E39-I39)/I39</f>
        <v>0.18797116066023886</v>
      </c>
      <c r="I39" s="279">
        <v>50338.323000000004</v>
      </c>
      <c r="J39" s="275">
        <v>546879.97676200001</v>
      </c>
      <c r="K39" s="276">
        <f>I39/$I$44</f>
        <v>0.46044824950430874</v>
      </c>
    </row>
    <row r="40" spans="1:11" ht="11.1" customHeight="1">
      <c r="A40" s="412"/>
      <c r="B40" s="412"/>
      <c r="C40" s="135" t="s">
        <v>5</v>
      </c>
      <c r="D40" s="280">
        <v>400</v>
      </c>
      <c r="E40" s="113">
        <v>9308.5990000000002</v>
      </c>
      <c r="F40" s="113">
        <v>101848.85289000001</v>
      </c>
      <c r="G40" s="274">
        <f t="shared" ref="G40" si="9">E40/$E$44</f>
        <v>7.1630145492179026E-2</v>
      </c>
      <c r="H40" s="274">
        <f>(E40-I40)/I40</f>
        <v>0.26392207202534407</v>
      </c>
      <c r="I40" s="280">
        <v>7364.8520000000008</v>
      </c>
      <c r="J40" s="113">
        <v>80014.971510000003</v>
      </c>
      <c r="K40" s="274">
        <f t="shared" ref="K40:K43" si="10">I40/$I$44</f>
        <v>6.7366829269586662E-2</v>
      </c>
    </row>
    <row r="41" spans="1:11" ht="11.1" customHeight="1">
      <c r="A41" s="412"/>
      <c r="B41" s="412"/>
      <c r="C41" s="135" t="s">
        <v>6</v>
      </c>
      <c r="D41" s="280">
        <v>17844</v>
      </c>
      <c r="E41" s="113">
        <v>18509.986000000001</v>
      </c>
      <c r="F41" s="113">
        <v>202571.03927000001</v>
      </c>
      <c r="G41" s="274">
        <f>E41/$E$44</f>
        <v>0.14243528915986142</v>
      </c>
      <c r="H41" s="274">
        <f t="shared" ref="H41:H43" si="11">(E41-I41)/I41</f>
        <v>0.2006550353311336</v>
      </c>
      <c r="I41" s="280">
        <v>15416.573</v>
      </c>
      <c r="J41" s="113">
        <v>167512.08765999999</v>
      </c>
      <c r="K41" s="274">
        <f t="shared" si="10"/>
        <v>0.14101649852748152</v>
      </c>
    </row>
    <row r="42" spans="1:11" ht="11.1" customHeight="1">
      <c r="A42" s="412"/>
      <c r="B42" s="412"/>
      <c r="C42" s="135" t="s">
        <v>7</v>
      </c>
      <c r="D42" s="280">
        <v>334452</v>
      </c>
      <c r="E42" s="113">
        <v>40190.6</v>
      </c>
      <c r="F42" s="113">
        <v>439905.9</v>
      </c>
      <c r="G42" s="274">
        <f>E42/$E$44</f>
        <v>0.30926872297517272</v>
      </c>
      <c r="H42" s="274">
        <f t="shared" si="11"/>
        <v>0.1784890113917926</v>
      </c>
      <c r="I42" s="280">
        <v>34103.5</v>
      </c>
      <c r="J42" s="113">
        <v>370622.8</v>
      </c>
      <c r="K42" s="274">
        <f t="shared" si="10"/>
        <v>0.31194715956211316</v>
      </c>
    </row>
    <row r="43" spans="1:11" ht="11.1" customHeight="1">
      <c r="A43" s="412"/>
      <c r="B43" s="412"/>
      <c r="C43" s="135" t="s">
        <v>90</v>
      </c>
      <c r="D43" s="280">
        <v>35</v>
      </c>
      <c r="E43" s="113">
        <v>2143.991</v>
      </c>
      <c r="F43" s="113">
        <v>23460.074210000002</v>
      </c>
      <c r="G43" s="274">
        <f>E43/$E$44</f>
        <v>1.6498120422194833E-2</v>
      </c>
      <c r="H43" s="274">
        <f t="shared" si="11"/>
        <v>2.0288794336231309E-2</v>
      </c>
      <c r="I43" s="280">
        <v>2101.357</v>
      </c>
      <c r="J43" s="113">
        <v>22827.692310000002</v>
      </c>
      <c r="K43" s="274">
        <f t="shared" si="10"/>
        <v>1.9221263136509844E-2</v>
      </c>
    </row>
    <row r="44" spans="1:11" ht="11.1" customHeight="1">
      <c r="A44" s="417"/>
      <c r="B44" s="417"/>
      <c r="C44" s="285" t="s">
        <v>0</v>
      </c>
      <c r="D44" s="288">
        <v>352916</v>
      </c>
      <c r="E44" s="286">
        <v>129953.65199999999</v>
      </c>
      <c r="F44" s="286">
        <v>1422160.1530279999</v>
      </c>
      <c r="G44" s="287">
        <f>SUM(G39:G43)</f>
        <v>1</v>
      </c>
      <c r="H44" s="287">
        <f>(E44-I44)/I44</f>
        <v>0.18869537191559005</v>
      </c>
      <c r="I44" s="288">
        <v>109324.60500000001</v>
      </c>
      <c r="J44" s="286">
        <v>1187857.5282420001</v>
      </c>
      <c r="K44" s="287">
        <f>SUM(K39:K43)</f>
        <v>1</v>
      </c>
    </row>
    <row r="45" spans="1:11" ht="11.1" customHeight="1">
      <c r="A45" s="418" t="str">
        <f>'3.1'!E5</f>
        <v>Únor</v>
      </c>
      <c r="B45" s="418"/>
      <c r="C45" s="145" t="s">
        <v>4</v>
      </c>
      <c r="D45" s="279">
        <v>182</v>
      </c>
      <c r="E45" s="275">
        <v>50916.467000000004</v>
      </c>
      <c r="F45" s="275">
        <v>555209.33350199996</v>
      </c>
      <c r="G45" s="276">
        <f>E45/$E$50</f>
        <v>0.5018326639368571</v>
      </c>
      <c r="H45" s="276">
        <f>(E45-I45)/I45</f>
        <v>4.8473239199492528E-2</v>
      </c>
      <c r="I45" s="279">
        <v>48562.485999999997</v>
      </c>
      <c r="J45" s="275">
        <v>526384.02770600002</v>
      </c>
      <c r="K45" s="276">
        <f>I45/$I$50</f>
        <v>0.47223642835143703</v>
      </c>
    </row>
    <row r="46" spans="1:11" ht="11.1" customHeight="1">
      <c r="A46" s="412"/>
      <c r="B46" s="412"/>
      <c r="C46" s="135" t="s">
        <v>5</v>
      </c>
      <c r="D46" s="280">
        <v>401</v>
      </c>
      <c r="E46" s="113">
        <v>5966.8269999999993</v>
      </c>
      <c r="F46" s="113">
        <v>65054.497810000001</v>
      </c>
      <c r="G46" s="274">
        <f t="shared" ref="G46:G49" si="12">E46/$E$50</f>
        <v>5.8809042832063833E-2</v>
      </c>
      <c r="H46" s="274">
        <f>(E46-I46)/I46</f>
        <v>-0.16492887904371173</v>
      </c>
      <c r="I46" s="280">
        <v>7145.2920000000004</v>
      </c>
      <c r="J46" s="113">
        <v>77454.035959999994</v>
      </c>
      <c r="K46" s="274">
        <f t="shared" ref="K46:K49" si="13">I46/$I$50</f>
        <v>6.9482999153051936E-2</v>
      </c>
    </row>
    <row r="47" spans="1:11" ht="11.1" customHeight="1">
      <c r="A47" s="412"/>
      <c r="B47" s="412"/>
      <c r="C47" s="135" t="s">
        <v>6</v>
      </c>
      <c r="D47" s="280">
        <v>17838</v>
      </c>
      <c r="E47" s="113">
        <v>13931.893000000002</v>
      </c>
      <c r="F47" s="113">
        <v>151933.27937999999</v>
      </c>
      <c r="G47" s="274">
        <f t="shared" si="12"/>
        <v>0.13731272788179222</v>
      </c>
      <c r="H47" s="274">
        <f t="shared" ref="H47:H49" si="14">(E47-I47)/I47</f>
        <v>-4.4474327903374508E-2</v>
      </c>
      <c r="I47" s="280">
        <v>14580.344000000001</v>
      </c>
      <c r="J47" s="113">
        <v>158077.25892000002</v>
      </c>
      <c r="K47" s="274">
        <f t="shared" si="13"/>
        <v>0.1417837129403817</v>
      </c>
    </row>
    <row r="48" spans="1:11" ht="11.1" customHeight="1">
      <c r="A48" s="412"/>
      <c r="B48" s="412"/>
      <c r="C48" s="135" t="s">
        <v>7</v>
      </c>
      <c r="D48" s="280">
        <v>334129</v>
      </c>
      <c r="E48" s="113">
        <v>28694.9</v>
      </c>
      <c r="F48" s="113">
        <v>312983.59999999998</v>
      </c>
      <c r="G48" s="274">
        <f t="shared" si="12"/>
        <v>0.28281691477929372</v>
      </c>
      <c r="H48" s="274">
        <f t="shared" si="14"/>
        <v>-6.2898216577566293E-2</v>
      </c>
      <c r="I48" s="280">
        <v>30620.9</v>
      </c>
      <c r="J48" s="113">
        <v>332033.3</v>
      </c>
      <c r="K48" s="274">
        <f t="shared" si="13"/>
        <v>0.29776697282150094</v>
      </c>
    </row>
    <row r="49" spans="1:11" ht="11.1" customHeight="1">
      <c r="A49" s="412"/>
      <c r="B49" s="412"/>
      <c r="C49" s="135" t="s">
        <v>90</v>
      </c>
      <c r="D49" s="280">
        <v>35</v>
      </c>
      <c r="E49" s="113">
        <v>1950.9590000000001</v>
      </c>
      <c r="F49" s="113">
        <v>21274.2696</v>
      </c>
      <c r="G49" s="274">
        <f t="shared" si="12"/>
        <v>1.9228650569993139E-2</v>
      </c>
      <c r="H49" s="274">
        <f t="shared" si="14"/>
        <v>1.2911650026738181E-2</v>
      </c>
      <c r="I49" s="280">
        <v>1926.09</v>
      </c>
      <c r="J49" s="113">
        <v>20875.823340000003</v>
      </c>
      <c r="K49" s="274">
        <f t="shared" si="13"/>
        <v>1.8729886733628492E-2</v>
      </c>
    </row>
    <row r="50" spans="1:11" ht="11.1" customHeight="1">
      <c r="A50" s="417"/>
      <c r="B50" s="417"/>
      <c r="C50" s="285" t="s">
        <v>0</v>
      </c>
      <c r="D50" s="288">
        <v>352585</v>
      </c>
      <c r="E50" s="286">
        <v>101461.046</v>
      </c>
      <c r="F50" s="286">
        <v>1106454.9802919999</v>
      </c>
      <c r="G50" s="287">
        <f>SUM(G45:G49)</f>
        <v>1</v>
      </c>
      <c r="H50" s="287">
        <f t="shared" ref="H50" si="15">(E50-I50)/I50</f>
        <v>-1.3361836957011257E-2</v>
      </c>
      <c r="I50" s="288">
        <v>102835.11199999999</v>
      </c>
      <c r="J50" s="286">
        <v>1114824.4459259999</v>
      </c>
      <c r="K50" s="287">
        <f>SUM(K45:K49)</f>
        <v>1.0000000000000002</v>
      </c>
    </row>
    <row r="51" spans="1:11" ht="11.1" customHeight="1">
      <c r="A51" s="418" t="str">
        <f>'3.1'!F5</f>
        <v>Březen</v>
      </c>
      <c r="B51" s="418"/>
      <c r="C51" s="145" t="s">
        <v>4</v>
      </c>
      <c r="D51" s="279">
        <v>181</v>
      </c>
      <c r="E51" s="275">
        <v>45522.634000000005</v>
      </c>
      <c r="F51" s="275">
        <v>499365.424015</v>
      </c>
      <c r="G51" s="276">
        <f>E51/$E$56</f>
        <v>0.55094153388981504</v>
      </c>
      <c r="H51" s="276">
        <f>(E51-I51)/I51</f>
        <v>1.2931417452078989E-2</v>
      </c>
      <c r="I51" s="279">
        <v>44941.476999999999</v>
      </c>
      <c r="J51" s="275">
        <v>489552.37649900001</v>
      </c>
      <c r="K51" s="276">
        <f>I51/$I$56</f>
        <v>0.54061327179767016</v>
      </c>
    </row>
    <row r="52" spans="1:11" ht="11.1" customHeight="1">
      <c r="A52" s="412"/>
      <c r="B52" s="412"/>
      <c r="C52" s="135" t="s">
        <v>5</v>
      </c>
      <c r="D52" s="280">
        <v>384</v>
      </c>
      <c r="E52" s="113">
        <v>4327.6000000000004</v>
      </c>
      <c r="F52" s="113">
        <v>47466.747210000001</v>
      </c>
      <c r="G52" s="274">
        <f t="shared" ref="G52:G55" si="16">E52/$E$56</f>
        <v>5.2375145560811874E-2</v>
      </c>
      <c r="H52" s="274">
        <f t="shared" ref="H52:H55" si="17">(E52-I52)/I52</f>
        <v>-0.12795747069783139</v>
      </c>
      <c r="I52" s="280">
        <v>4962.6019999999999</v>
      </c>
      <c r="J52" s="113">
        <v>54061.072470000006</v>
      </c>
      <c r="K52" s="274">
        <f t="shared" ref="K52:K55" si="18">I52/$I$56</f>
        <v>5.9696491591712968E-2</v>
      </c>
    </row>
    <row r="53" spans="1:11" ht="11.1" customHeight="1">
      <c r="A53" s="412"/>
      <c r="B53" s="412"/>
      <c r="C53" s="135" t="s">
        <v>6</v>
      </c>
      <c r="D53" s="280">
        <v>17834</v>
      </c>
      <c r="E53" s="113">
        <v>10060.751</v>
      </c>
      <c r="F53" s="113">
        <v>110382.05968999999</v>
      </c>
      <c r="G53" s="274">
        <f t="shared" si="16"/>
        <v>0.12176109115354551</v>
      </c>
      <c r="H53" s="274">
        <f t="shared" si="17"/>
        <v>-1.6573891673045637E-2</v>
      </c>
      <c r="I53" s="280">
        <v>10230.307000000001</v>
      </c>
      <c r="J53" s="113">
        <v>111466.65581</v>
      </c>
      <c r="K53" s="274">
        <f t="shared" si="18"/>
        <v>0.12306315030021395</v>
      </c>
    </row>
    <row r="54" spans="1:11" ht="11.1" customHeight="1">
      <c r="A54" s="412"/>
      <c r="B54" s="412"/>
      <c r="C54" s="135" t="s">
        <v>7</v>
      </c>
      <c r="D54" s="280">
        <v>333823</v>
      </c>
      <c r="E54" s="113">
        <v>20603.027999999998</v>
      </c>
      <c r="F54" s="113">
        <v>226102.85100000002</v>
      </c>
      <c r="G54" s="274">
        <f t="shared" si="16"/>
        <v>0.24934989150879991</v>
      </c>
      <c r="H54" s="274">
        <f t="shared" si="17"/>
        <v>-1.7330080442605891E-2</v>
      </c>
      <c r="I54" s="280">
        <v>20966.377</v>
      </c>
      <c r="J54" s="113">
        <v>228490.78400000001</v>
      </c>
      <c r="K54" s="274">
        <f t="shared" si="18"/>
        <v>0.25221026152997644</v>
      </c>
    </row>
    <row r="55" spans="1:11" ht="11.1" customHeight="1">
      <c r="A55" s="412"/>
      <c r="B55" s="412"/>
      <c r="C55" s="135" t="s">
        <v>90</v>
      </c>
      <c r="D55" s="280">
        <v>35</v>
      </c>
      <c r="E55" s="113">
        <v>2112.9649999999997</v>
      </c>
      <c r="F55" s="113">
        <v>23180.319149999999</v>
      </c>
      <c r="G55" s="274">
        <f t="shared" si="16"/>
        <v>2.5572337887027643E-2</v>
      </c>
      <c r="H55" s="274">
        <f t="shared" si="17"/>
        <v>4.0980222526140503E-2</v>
      </c>
      <c r="I55" s="280">
        <v>2029.7840000000001</v>
      </c>
      <c r="J55" s="113">
        <v>22108.483189999999</v>
      </c>
      <c r="K55" s="274">
        <f t="shared" si="18"/>
        <v>2.441682478042638E-2</v>
      </c>
    </row>
    <row r="56" spans="1:11" ht="11.1" customHeight="1">
      <c r="A56" s="417"/>
      <c r="B56" s="417"/>
      <c r="C56" s="285" t="s">
        <v>0</v>
      </c>
      <c r="D56" s="288">
        <v>352257</v>
      </c>
      <c r="E56" s="286">
        <v>82626.978000000003</v>
      </c>
      <c r="F56" s="286">
        <v>906497.40106499998</v>
      </c>
      <c r="G56" s="287">
        <f>SUM(G51:G55)</f>
        <v>1</v>
      </c>
      <c r="H56" s="287">
        <f t="shared" ref="H56" si="19">(E56-I56)/I56</f>
        <v>-6.0575687057611094E-3</v>
      </c>
      <c r="I56" s="288">
        <v>83130.547000000006</v>
      </c>
      <c r="J56" s="286">
        <v>905679.37196899997</v>
      </c>
      <c r="K56" s="287">
        <f>SUM(K51:K55)</f>
        <v>1</v>
      </c>
    </row>
    <row r="57" spans="1:11" ht="11.1" customHeight="1">
      <c r="A57" s="476" t="str">
        <f>'3.1'!G5</f>
        <v>I. čtvrtletí</v>
      </c>
      <c r="B57" s="418"/>
      <c r="C57" s="145" t="s">
        <v>4</v>
      </c>
      <c r="D57" s="279">
        <f>D51</f>
        <v>181</v>
      </c>
      <c r="E57" s="275">
        <f>E39+E45+E51</f>
        <v>156239.57699999999</v>
      </c>
      <c r="F57" s="275">
        <f>F39+F45+F51</f>
        <v>1708949.0441749999</v>
      </c>
      <c r="G57" s="276">
        <f>E57/$E$62</f>
        <v>0.49751223783431853</v>
      </c>
      <c r="H57" s="276">
        <f>(E57-I57)/I57</f>
        <v>8.6186693390008881E-2</v>
      </c>
      <c r="I57" s="279">
        <f>I39+I45+I51</f>
        <v>143842.28600000002</v>
      </c>
      <c r="J57" s="275">
        <f>J39+J45+J51</f>
        <v>1562816.380967</v>
      </c>
      <c r="K57" s="276">
        <f>I57/$I$62</f>
        <v>0.48712166819018471</v>
      </c>
    </row>
    <row r="58" spans="1:11" ht="11.1" customHeight="1">
      <c r="A58" s="412"/>
      <c r="B58" s="412"/>
      <c r="C58" s="135" t="s">
        <v>5</v>
      </c>
      <c r="D58" s="280">
        <f>D52</f>
        <v>384</v>
      </c>
      <c r="E58" s="113">
        <f t="shared" ref="E58:F59" si="20">E40+E46+E52</f>
        <v>19603.025999999998</v>
      </c>
      <c r="F58" s="113">
        <f t="shared" si="20"/>
        <v>214370.09791000001</v>
      </c>
      <c r="G58" s="274">
        <f t="shared" ref="G58:G61" si="21">E58/$E$62</f>
        <v>6.2421734114041602E-2</v>
      </c>
      <c r="H58" s="274">
        <f t="shared" ref="H58:H61" si="22">(E58-I58)/I58</f>
        <v>6.690376385538991E-3</v>
      </c>
      <c r="I58" s="280">
        <f t="shared" ref="I58:J58" si="23">I40+I46+I52</f>
        <v>19472.745999999999</v>
      </c>
      <c r="J58" s="113">
        <f t="shared" si="23"/>
        <v>211530.07994000003</v>
      </c>
      <c r="K58" s="274">
        <f t="shared" ref="K58:K61" si="24">I58/$I$62</f>
        <v>6.5944422739247513E-2</v>
      </c>
    </row>
    <row r="59" spans="1:11" ht="11.1" customHeight="1">
      <c r="A59" s="412"/>
      <c r="B59" s="412"/>
      <c r="C59" s="135" t="s">
        <v>6</v>
      </c>
      <c r="D59" s="280">
        <f>D53</f>
        <v>17834</v>
      </c>
      <c r="E59" s="113">
        <f>E41+E47+E53</f>
        <v>42502.630000000005</v>
      </c>
      <c r="F59" s="113">
        <f t="shared" si="20"/>
        <v>464886.37834000005</v>
      </c>
      <c r="G59" s="274">
        <f t="shared" si="21"/>
        <v>0.13534073101813407</v>
      </c>
      <c r="H59" s="274">
        <f t="shared" si="22"/>
        <v>5.6563833487491021E-2</v>
      </c>
      <c r="I59" s="280">
        <f>I41+I47+I53</f>
        <v>40227.224000000002</v>
      </c>
      <c r="J59" s="113">
        <f t="shared" ref="J59" si="25">J41+J47+J53</f>
        <v>437056.00239000004</v>
      </c>
      <c r="K59" s="274">
        <f t="shared" si="24"/>
        <v>0.13622942881719935</v>
      </c>
    </row>
    <row r="60" spans="1:11" ht="11.1" customHeight="1">
      <c r="A60" s="412"/>
      <c r="B60" s="412"/>
      <c r="C60" s="135" t="s">
        <v>7</v>
      </c>
      <c r="D60" s="280">
        <f>D54</f>
        <v>333823</v>
      </c>
      <c r="E60" s="113">
        <f t="shared" ref="E60:F61" si="26">E42+E48+E54</f>
        <v>89488.527999999991</v>
      </c>
      <c r="F60" s="113">
        <f t="shared" si="26"/>
        <v>978992.35100000002</v>
      </c>
      <c r="G60" s="274">
        <f t="shared" si="21"/>
        <v>0.28495749080131644</v>
      </c>
      <c r="H60" s="274">
        <f t="shared" si="22"/>
        <v>4.4319250366932593E-2</v>
      </c>
      <c r="I60" s="280">
        <f t="shared" ref="I60:J60" si="27">I42+I48+I54</f>
        <v>85690.777000000002</v>
      </c>
      <c r="J60" s="113">
        <f t="shared" si="27"/>
        <v>931146.88399999996</v>
      </c>
      <c r="K60" s="274">
        <f t="shared" si="24"/>
        <v>0.29019167729823969</v>
      </c>
    </row>
    <row r="61" spans="1:11" ht="11.1" customHeight="1">
      <c r="A61" s="412"/>
      <c r="B61" s="412"/>
      <c r="C61" s="135" t="s">
        <v>90</v>
      </c>
      <c r="D61" s="280">
        <f>D55</f>
        <v>35</v>
      </c>
      <c r="E61" s="113">
        <f>E43+E49+E55</f>
        <v>6207.9149999999991</v>
      </c>
      <c r="F61" s="113">
        <f t="shared" si="26"/>
        <v>67914.662960000001</v>
      </c>
      <c r="G61" s="274">
        <f t="shared" si="21"/>
        <v>1.9767806232189385E-2</v>
      </c>
      <c r="H61" s="274">
        <f t="shared" si="22"/>
        <v>2.4876713468579833E-2</v>
      </c>
      <c r="I61" s="280">
        <f>I43+I49+I55</f>
        <v>6057.2309999999998</v>
      </c>
      <c r="J61" s="113">
        <f t="shared" ref="J61" si="28">J43+J49+J55</f>
        <v>65811.99884</v>
      </c>
      <c r="K61" s="274">
        <f t="shared" si="24"/>
        <v>2.0512802955128924E-2</v>
      </c>
    </row>
    <row r="62" spans="1:11" ht="11.1" customHeight="1">
      <c r="A62" s="417"/>
      <c r="B62" s="417"/>
      <c r="C62" s="285" t="s">
        <v>0</v>
      </c>
      <c r="D62" s="288">
        <f>SUM(D57:D61)</f>
        <v>352257</v>
      </c>
      <c r="E62" s="286">
        <f>SUM(E57:E61)</f>
        <v>314041.67599999998</v>
      </c>
      <c r="F62" s="286">
        <f>SUM(F57:F61)</f>
        <v>3435112.5343849999</v>
      </c>
      <c r="G62" s="287">
        <f>SUM(G57:G61)</f>
        <v>1</v>
      </c>
      <c r="H62" s="287">
        <f>(E62-I62)/I62</f>
        <v>6.3501626318434978E-2</v>
      </c>
      <c r="I62" s="288">
        <f>SUM(I57:I61)</f>
        <v>295290.26399999997</v>
      </c>
      <c r="J62" s="286">
        <f>SUM(J57:J61)</f>
        <v>3208361.3461370002</v>
      </c>
      <c r="K62" s="287">
        <f>SUM(K57:K61)</f>
        <v>1.0000000000000002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20"/>
  <sheetViews>
    <sheetView showGridLines="0" topLeftCell="A22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16" s="91" customFormat="1" ht="18">
      <c r="A1" s="485" t="s">
        <v>290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502"/>
      <c r="B3" s="502"/>
      <c r="C3" s="502"/>
      <c r="D3" s="267"/>
      <c r="E3" s="267"/>
      <c r="F3" s="268"/>
      <c r="G3" s="269"/>
      <c r="H3" s="269"/>
      <c r="I3" s="269"/>
    </row>
    <row r="4" spans="1:16" ht="12.95" customHeight="1">
      <c r="A4" s="463" t="s">
        <v>40</v>
      </c>
      <c r="B4" s="463"/>
      <c r="C4" s="463"/>
      <c r="D4" s="457">
        <f>'3.1'!A4</f>
        <v>2026</v>
      </c>
      <c r="E4" s="320"/>
      <c r="F4" s="309"/>
      <c r="G4" s="309"/>
      <c r="H4" s="309"/>
      <c r="I4" s="457">
        <f>D4-1</f>
        <v>2025</v>
      </c>
      <c r="J4" s="458"/>
      <c r="K4" s="458"/>
    </row>
    <row r="5" spans="1:16" ht="24.95" customHeight="1">
      <c r="A5" s="131"/>
      <c r="B5" s="131"/>
      <c r="C5" s="131"/>
      <c r="D5" s="459"/>
      <c r="E5" s="321"/>
      <c r="F5" s="322"/>
      <c r="G5" s="322"/>
      <c r="H5" s="323"/>
      <c r="I5" s="459"/>
      <c r="J5" s="460"/>
      <c r="K5" s="460"/>
    </row>
    <row r="6" spans="1:16" ht="24.95" customHeight="1">
      <c r="A6" s="271"/>
      <c r="B6" s="250"/>
      <c r="C6" s="272"/>
      <c r="D6" s="330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4.95" customHeight="1">
      <c r="A7" s="271"/>
      <c r="B7" s="273"/>
      <c r="D7" s="331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0" t="s">
        <v>180</v>
      </c>
      <c r="D8" s="310"/>
      <c r="E8" s="199" t="s">
        <v>247</v>
      </c>
      <c r="F8" s="199" t="s">
        <v>248</v>
      </c>
      <c r="G8" s="451"/>
      <c r="H8" s="451"/>
      <c r="I8" s="201" t="s">
        <v>247</v>
      </c>
      <c r="J8" s="199" t="s">
        <v>248</v>
      </c>
      <c r="K8" s="451"/>
    </row>
    <row r="9" spans="1:16" ht="11.1" customHeight="1">
      <c r="A9" s="418" t="str">
        <f>'3.1'!D5</f>
        <v>Leden</v>
      </c>
      <c r="B9" s="418"/>
      <c r="C9" s="145" t="s">
        <v>4</v>
      </c>
      <c r="D9" s="279">
        <v>121</v>
      </c>
      <c r="E9" s="275">
        <v>29131.547999999999</v>
      </c>
      <c r="F9" s="275">
        <v>318858.82587</v>
      </c>
      <c r="G9" s="276">
        <f>E9/$E$14</f>
        <v>0.38245535632232203</v>
      </c>
      <c r="H9" s="276">
        <f>(E9-I9)/I9</f>
        <v>0.1092835665535534</v>
      </c>
      <c r="I9" s="279">
        <v>26261.588</v>
      </c>
      <c r="J9" s="275">
        <v>285400.17511000001</v>
      </c>
      <c r="K9" s="276">
        <f>I9/$I$14</f>
        <v>0.39350689944004325</v>
      </c>
    </row>
    <row r="10" spans="1:16" ht="11.1" customHeight="1">
      <c r="A10" s="412"/>
      <c r="B10" s="412"/>
      <c r="C10" s="135" t="s">
        <v>5</v>
      </c>
      <c r="D10" s="280">
        <v>322</v>
      </c>
      <c r="E10" s="113">
        <v>6775.7619999999997</v>
      </c>
      <c r="F10" s="113">
        <v>74163.701279999994</v>
      </c>
      <c r="G10" s="274">
        <f>E10/$E$14</f>
        <v>8.8956016689028999E-2</v>
      </c>
      <c r="H10" s="274">
        <f>(E10-I10)/I10</f>
        <v>0.12156032132441454</v>
      </c>
      <c r="I10" s="280">
        <v>6041.3710000000001</v>
      </c>
      <c r="J10" s="113">
        <v>65655.519809999998</v>
      </c>
      <c r="K10" s="274">
        <f>I10/$I$14</f>
        <v>9.0524654128950374E-2</v>
      </c>
      <c r="L10" s="68"/>
      <c r="N10" s="68"/>
      <c r="O10" s="68"/>
      <c r="P10" s="68"/>
    </row>
    <row r="11" spans="1:16" ht="11.1" customHeight="1">
      <c r="A11" s="412"/>
      <c r="B11" s="412"/>
      <c r="C11" s="135" t="s">
        <v>6</v>
      </c>
      <c r="D11" s="280">
        <v>12832</v>
      </c>
      <c r="E11" s="113">
        <v>13530.8</v>
      </c>
      <c r="F11" s="113">
        <v>148101.29999999999</v>
      </c>
      <c r="G11" s="274">
        <f>E11/$E$14</f>
        <v>0.17763995704334265</v>
      </c>
      <c r="H11" s="274">
        <f t="shared" ref="H11:H13" si="0">(E11-I11)/I11</f>
        <v>0.18426327075401508</v>
      </c>
      <c r="I11" s="280">
        <v>11425.5</v>
      </c>
      <c r="J11" s="113">
        <v>124168.1</v>
      </c>
      <c r="K11" s="274">
        <f>I11/$I$14</f>
        <v>0.17120111242138952</v>
      </c>
      <c r="L11" s="68"/>
      <c r="N11" s="68"/>
      <c r="O11" s="68"/>
      <c r="P11" s="68"/>
    </row>
    <row r="12" spans="1:16" ht="11.1" customHeight="1">
      <c r="A12" s="412"/>
      <c r="B12" s="412"/>
      <c r="C12" s="135" t="s">
        <v>7</v>
      </c>
      <c r="D12" s="280">
        <v>165592</v>
      </c>
      <c r="E12" s="113">
        <v>26302.6</v>
      </c>
      <c r="F12" s="113">
        <v>287895.3</v>
      </c>
      <c r="G12" s="274">
        <f>E12/$E$14</f>
        <v>0.34531533494902183</v>
      </c>
      <c r="H12" s="274">
        <f t="shared" si="0"/>
        <v>0.16373917121645176</v>
      </c>
      <c r="I12" s="280">
        <v>22601.8</v>
      </c>
      <c r="J12" s="113">
        <v>245627</v>
      </c>
      <c r="K12" s="274">
        <f>I12/$I$14</f>
        <v>0.33866818106216462</v>
      </c>
      <c r="L12" s="68"/>
      <c r="N12" s="68"/>
      <c r="O12" s="68"/>
      <c r="P12" s="68"/>
    </row>
    <row r="13" spans="1:16" ht="11.1" customHeight="1">
      <c r="A13" s="412"/>
      <c r="B13" s="412"/>
      <c r="C13" s="135" t="s">
        <v>90</v>
      </c>
      <c r="D13" s="280">
        <v>15</v>
      </c>
      <c r="E13" s="113">
        <v>429.09</v>
      </c>
      <c r="F13" s="113">
        <v>4696.6019900000001</v>
      </c>
      <c r="G13" s="274">
        <f>E13/$E$14</f>
        <v>5.6333349962846176E-3</v>
      </c>
      <c r="H13" s="274">
        <f t="shared" si="0"/>
        <v>5.4168990347409664E-2</v>
      </c>
      <c r="I13" s="280">
        <v>407.041</v>
      </c>
      <c r="J13" s="113">
        <v>4423.5480399999997</v>
      </c>
      <c r="K13" s="274">
        <f>I13/$I$14</f>
        <v>6.0991529474521741E-3</v>
      </c>
      <c r="L13" s="68"/>
      <c r="N13" s="68"/>
      <c r="O13" s="68"/>
      <c r="P13" s="68"/>
    </row>
    <row r="14" spans="1:16" ht="11.1" customHeight="1">
      <c r="A14" s="417"/>
      <c r="B14" s="417"/>
      <c r="C14" s="285" t="s">
        <v>0</v>
      </c>
      <c r="D14" s="288">
        <v>178882</v>
      </c>
      <c r="E14" s="286">
        <v>76169.799999999988</v>
      </c>
      <c r="F14" s="286">
        <v>833715.72914000007</v>
      </c>
      <c r="G14" s="287">
        <f>SUM(G9:G13)</f>
        <v>1.0000000000000002</v>
      </c>
      <c r="H14" s="287">
        <f>(E14-I14)/I14</f>
        <v>0.14133775265106596</v>
      </c>
      <c r="I14" s="288">
        <v>66737.3</v>
      </c>
      <c r="J14" s="286">
        <v>725274.34296000004</v>
      </c>
      <c r="K14" s="287">
        <f>SUM(K9:K13)</f>
        <v>0.99999999999999989</v>
      </c>
      <c r="L14" s="68"/>
    </row>
    <row r="15" spans="1:16" ht="11.1" customHeight="1">
      <c r="A15" s="418" t="str">
        <f>'3.1'!E5</f>
        <v>Únor</v>
      </c>
      <c r="B15" s="418"/>
      <c r="C15" s="145" t="s">
        <v>4</v>
      </c>
      <c r="D15" s="279">
        <v>121</v>
      </c>
      <c r="E15" s="275">
        <v>22500.952000000001</v>
      </c>
      <c r="F15" s="275">
        <v>245424.16365</v>
      </c>
      <c r="G15" s="276">
        <f>E15/$E$20</f>
        <v>0.39453689465258551</v>
      </c>
      <c r="H15" s="276">
        <f>(E15-I15)/I15</f>
        <v>-4.9957095766564104E-2</v>
      </c>
      <c r="I15" s="279">
        <v>23684.143</v>
      </c>
      <c r="J15" s="275">
        <v>256816.38756</v>
      </c>
      <c r="K15" s="276">
        <f>I15/$I$20</f>
        <v>0.39020478872821751</v>
      </c>
      <c r="L15" s="68"/>
      <c r="M15" s="68"/>
    </row>
    <row r="16" spans="1:16" ht="11.1" customHeight="1">
      <c r="A16" s="412"/>
      <c r="B16" s="412"/>
      <c r="C16" s="135" t="s">
        <v>5</v>
      </c>
      <c r="D16" s="280">
        <v>323</v>
      </c>
      <c r="E16" s="113">
        <v>5194.7349999999997</v>
      </c>
      <c r="F16" s="113">
        <v>56660.683969999998</v>
      </c>
      <c r="G16" s="274">
        <f>E16/$E$20</f>
        <v>9.1085684527619032E-2</v>
      </c>
      <c r="H16" s="274">
        <f>(E16-I16)/I16</f>
        <v>-6.0223481030199581E-2</v>
      </c>
      <c r="I16" s="280">
        <v>5527.6279999999997</v>
      </c>
      <c r="J16" s="113">
        <v>59937.592579999997</v>
      </c>
      <c r="K16" s="274">
        <f>I16/$I$20</f>
        <v>9.1069662765850518E-2</v>
      </c>
      <c r="L16" s="86"/>
      <c r="M16" s="68"/>
    </row>
    <row r="17" spans="1:20" ht="11.1" customHeight="1">
      <c r="A17" s="412"/>
      <c r="B17" s="412"/>
      <c r="C17" s="135" t="s">
        <v>6</v>
      </c>
      <c r="D17" s="280">
        <v>12848</v>
      </c>
      <c r="E17" s="113">
        <v>10170.700000000001</v>
      </c>
      <c r="F17" s="113">
        <v>110935</v>
      </c>
      <c r="G17" s="274">
        <f>E17/$E$20</f>
        <v>0.17833540529498715</v>
      </c>
      <c r="H17" s="274">
        <f t="shared" ref="H17:H20" si="1">(E17-I17)/I17</f>
        <v>-5.8982994393145943E-2</v>
      </c>
      <c r="I17" s="280">
        <v>10808.2</v>
      </c>
      <c r="J17" s="113">
        <v>117197.3</v>
      </c>
      <c r="K17" s="274">
        <f>I17/$I$20</f>
        <v>0.17806898892361528</v>
      </c>
      <c r="L17" s="68"/>
      <c r="M17" s="68"/>
      <c r="N17" s="68"/>
      <c r="O17" s="68"/>
    </row>
    <row r="18" spans="1:20" ht="11.1" customHeight="1">
      <c r="A18" s="412"/>
      <c r="B18" s="412"/>
      <c r="C18" s="135" t="s">
        <v>7</v>
      </c>
      <c r="D18" s="280">
        <v>165204</v>
      </c>
      <c r="E18" s="113">
        <v>18779.3</v>
      </c>
      <c r="F18" s="113">
        <v>204831.4</v>
      </c>
      <c r="G18" s="274">
        <f>E18/$E$20</f>
        <v>0.32928058802797761</v>
      </c>
      <c r="H18" s="274">
        <f t="shared" si="1"/>
        <v>-7.4624144438914602E-2</v>
      </c>
      <c r="I18" s="280">
        <v>20293.7</v>
      </c>
      <c r="J18" s="113">
        <v>220052.2</v>
      </c>
      <c r="K18" s="274">
        <f>I18/$I$20</f>
        <v>0.33434601881156634</v>
      </c>
      <c r="L18" s="68"/>
      <c r="M18" s="68"/>
      <c r="N18" s="68"/>
      <c r="O18" s="68"/>
    </row>
    <row r="19" spans="1:20" ht="11.1" customHeight="1">
      <c r="A19" s="412"/>
      <c r="B19" s="412"/>
      <c r="C19" s="135" t="s">
        <v>90</v>
      </c>
      <c r="D19" s="280">
        <v>15</v>
      </c>
      <c r="E19" s="113">
        <v>385.613</v>
      </c>
      <c r="F19" s="113">
        <v>4205.9826700000003</v>
      </c>
      <c r="G19" s="274">
        <f>E19/$E$20</f>
        <v>6.7614274968306872E-3</v>
      </c>
      <c r="H19" s="274">
        <f t="shared" si="1"/>
        <v>6.7462254816215046E-3</v>
      </c>
      <c r="I19" s="280">
        <v>383.029</v>
      </c>
      <c r="J19" s="113">
        <v>4153.3311599999997</v>
      </c>
      <c r="K19" s="274">
        <f>I19/$I$20</f>
        <v>6.3105407707503038E-3</v>
      </c>
      <c r="L19" s="68"/>
      <c r="M19" s="68"/>
      <c r="N19" s="68"/>
      <c r="O19" s="68"/>
    </row>
    <row r="20" spans="1:20" ht="11.1" customHeight="1">
      <c r="A20" s="417"/>
      <c r="B20" s="417"/>
      <c r="C20" s="285" t="s">
        <v>0</v>
      </c>
      <c r="D20" s="288">
        <v>178511</v>
      </c>
      <c r="E20" s="286">
        <v>57031.3</v>
      </c>
      <c r="F20" s="286">
        <v>622057.23029000009</v>
      </c>
      <c r="G20" s="287">
        <f>SUM(G15:G19)</f>
        <v>1</v>
      </c>
      <c r="H20" s="287">
        <f t="shared" si="1"/>
        <v>-6.0388785551768076E-2</v>
      </c>
      <c r="I20" s="288">
        <v>60696.700000000004</v>
      </c>
      <c r="J20" s="286">
        <v>658156.81129999994</v>
      </c>
      <c r="K20" s="287">
        <f>SUM(K15:K19)</f>
        <v>0.99999999999999989</v>
      </c>
      <c r="L20" s="68"/>
      <c r="M20" s="68"/>
      <c r="N20" s="68"/>
      <c r="O20" s="68"/>
    </row>
    <row r="21" spans="1:20" ht="11.1" customHeight="1">
      <c r="A21" s="418" t="str">
        <f>'3.1'!F5</f>
        <v>Březen</v>
      </c>
      <c r="B21" s="418"/>
      <c r="C21" s="145" t="s">
        <v>4</v>
      </c>
      <c r="D21" s="279">
        <v>121</v>
      </c>
      <c r="E21" s="275">
        <v>18534.013999999999</v>
      </c>
      <c r="F21" s="275">
        <v>203397.88901000001</v>
      </c>
      <c r="G21" s="276">
        <f>E21/$E$26</f>
        <v>0.42474817407007631</v>
      </c>
      <c r="H21" s="276">
        <f>(E21-I21)/I21</f>
        <v>-8.5909747612400965E-3</v>
      </c>
      <c r="I21" s="279">
        <v>18694.618999999999</v>
      </c>
      <c r="J21" s="275">
        <v>203733.82772</v>
      </c>
      <c r="K21" s="276">
        <f>I21/$I$26</f>
        <v>0.42060285012329235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" customHeight="1">
      <c r="A22" s="412"/>
      <c r="B22" s="412"/>
      <c r="C22" s="135" t="s">
        <v>5</v>
      </c>
      <c r="D22" s="280">
        <v>312</v>
      </c>
      <c r="E22" s="113">
        <v>3853.0839999999998</v>
      </c>
      <c r="F22" s="113">
        <v>42285.15655</v>
      </c>
      <c r="G22" s="274">
        <f>E22/$E$26</f>
        <v>8.83019940277711E-2</v>
      </c>
      <c r="H22" s="274">
        <f t="shared" ref="H22:H26" si="2">(E22-I22)/I22</f>
        <v>-8.2767066444527256E-3</v>
      </c>
      <c r="I22" s="280">
        <v>3885.241</v>
      </c>
      <c r="J22" s="113">
        <v>42341.259380000003</v>
      </c>
      <c r="K22" s="274">
        <f>I22/$I$26</f>
        <v>8.7412502924818669E-2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" customHeight="1">
      <c r="A23" s="412"/>
      <c r="B23" s="412"/>
      <c r="C23" s="135" t="s">
        <v>6</v>
      </c>
      <c r="D23" s="280">
        <v>12847</v>
      </c>
      <c r="E23" s="113">
        <v>7342.8</v>
      </c>
      <c r="F23" s="113">
        <v>80582.399999999994</v>
      </c>
      <c r="G23" s="274">
        <f>E23/$E$26</f>
        <v>0.16827660174216749</v>
      </c>
      <c r="H23" s="274">
        <f t="shared" si="2"/>
        <v>-3.0371857173040355E-2</v>
      </c>
      <c r="I23" s="280">
        <v>7572.8</v>
      </c>
      <c r="J23" s="113">
        <v>82528.7</v>
      </c>
      <c r="K23" s="274">
        <f>I23/$I$26</f>
        <v>0.17037743659893087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" customHeight="1">
      <c r="A24" s="412"/>
      <c r="B24" s="412"/>
      <c r="C24" s="135" t="s">
        <v>7</v>
      </c>
      <c r="D24" s="280">
        <v>165055</v>
      </c>
      <c r="E24" s="113">
        <v>13482.9</v>
      </c>
      <c r="F24" s="113">
        <v>147965.1</v>
      </c>
      <c r="G24" s="274">
        <f>E24/$E$26</f>
        <v>0.30899065664725578</v>
      </c>
      <c r="H24" s="274">
        <f t="shared" si="2"/>
        <v>-2.9602280088094391E-2</v>
      </c>
      <c r="I24" s="280">
        <v>13894.2</v>
      </c>
      <c r="J24" s="113">
        <v>151418.29999999999</v>
      </c>
      <c r="K24" s="274">
        <f>I24/$I$26</f>
        <v>0.31260011879263488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" customHeight="1">
      <c r="A25" s="412"/>
      <c r="B25" s="412"/>
      <c r="C25" s="135" t="s">
        <v>90</v>
      </c>
      <c r="D25" s="280">
        <v>15</v>
      </c>
      <c r="E25" s="113">
        <v>422.50200000000001</v>
      </c>
      <c r="F25" s="113">
        <v>4636.6570899999997</v>
      </c>
      <c r="G25" s="274">
        <f>E25/$E$26</f>
        <v>9.6825735127293745E-3</v>
      </c>
      <c r="H25" s="274">
        <f t="shared" si="2"/>
        <v>5.535794574611589E-2</v>
      </c>
      <c r="I25" s="280">
        <v>400.34</v>
      </c>
      <c r="J25" s="113">
        <v>4362.8935600000004</v>
      </c>
      <c r="K25" s="274">
        <f>I25/$I$26</f>
        <v>9.0070915603232601E-3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" customHeight="1">
      <c r="A26" s="417"/>
      <c r="B26" s="417"/>
      <c r="C26" s="285" t="s">
        <v>0</v>
      </c>
      <c r="D26" s="288">
        <v>178350</v>
      </c>
      <c r="E26" s="286">
        <v>43635.299999999996</v>
      </c>
      <c r="F26" s="286">
        <v>478867.20264999999</v>
      </c>
      <c r="G26" s="287">
        <f>SUM(G21:G25)</f>
        <v>1</v>
      </c>
      <c r="H26" s="287">
        <f t="shared" si="2"/>
        <v>-1.826661746971691E-2</v>
      </c>
      <c r="I26" s="288">
        <v>44447.199999999997</v>
      </c>
      <c r="J26" s="286">
        <v>484384.98066</v>
      </c>
      <c r="K26" s="287">
        <f>SUM(K21:K25)</f>
        <v>1.0000000000000002</v>
      </c>
    </row>
    <row r="27" spans="1:20" ht="11.1" customHeight="1">
      <c r="A27" s="476" t="str">
        <f>'3.1'!G5</f>
        <v>I. čtvrtletí</v>
      </c>
      <c r="B27" s="418"/>
      <c r="C27" s="145" t="s">
        <v>4</v>
      </c>
      <c r="D27" s="279">
        <f>D21</f>
        <v>121</v>
      </c>
      <c r="E27" s="275">
        <f>E9+E15+E21</f>
        <v>70166.513999999996</v>
      </c>
      <c r="F27" s="275">
        <f>F9+F15+F21</f>
        <v>767680.8785300001</v>
      </c>
      <c r="G27" s="276">
        <f>E27/$E$32</f>
        <v>0.39678773148514673</v>
      </c>
      <c r="H27" s="276">
        <f>(E27-I27)/I27</f>
        <v>2.2234210635580814E-2</v>
      </c>
      <c r="I27" s="279">
        <f>I9+I15+I21</f>
        <v>68640.350000000006</v>
      </c>
      <c r="J27" s="275">
        <f>J9+J15+J21</f>
        <v>745950.39039000007</v>
      </c>
      <c r="K27" s="276">
        <f>I27/$I$32</f>
        <v>0.39934763080546332</v>
      </c>
    </row>
    <row r="28" spans="1:20" ht="11.1" customHeight="1">
      <c r="A28" s="412"/>
      <c r="B28" s="412"/>
      <c r="C28" s="135" t="s">
        <v>5</v>
      </c>
      <c r="D28" s="280">
        <f>D22</f>
        <v>312</v>
      </c>
      <c r="E28" s="113">
        <f t="shared" ref="E28:F31" si="3">E10+E16+E22</f>
        <v>15823.580999999998</v>
      </c>
      <c r="F28" s="113">
        <f t="shared" si="3"/>
        <v>173109.54180000001</v>
      </c>
      <c r="G28" s="274">
        <f>E28/$E$32</f>
        <v>8.9481469878373451E-2</v>
      </c>
      <c r="H28" s="274">
        <f t="shared" ref="H28:H31" si="4">(E28-I28)/I28</f>
        <v>2.3899007650974653E-2</v>
      </c>
      <c r="I28" s="280">
        <f t="shared" ref="I28:J28" si="5">I10+I16+I22</f>
        <v>15454.24</v>
      </c>
      <c r="J28" s="113">
        <f t="shared" si="5"/>
        <v>167934.37177</v>
      </c>
      <c r="K28" s="274">
        <f>I28/$I$32</f>
        <v>8.991233479868653E-2</v>
      </c>
    </row>
    <row r="29" spans="1:20" ht="11.1" customHeight="1">
      <c r="A29" s="412"/>
      <c r="B29" s="412"/>
      <c r="C29" s="135" t="s">
        <v>6</v>
      </c>
      <c r="D29" s="280">
        <f>D23</f>
        <v>12847</v>
      </c>
      <c r="E29" s="113">
        <f t="shared" si="3"/>
        <v>31044.3</v>
      </c>
      <c r="F29" s="113">
        <f t="shared" si="3"/>
        <v>339618.69999999995</v>
      </c>
      <c r="G29" s="274">
        <f>E29/$E$32</f>
        <v>0.17555378869961161</v>
      </c>
      <c r="H29" s="274">
        <f t="shared" si="4"/>
        <v>4.1527854662573575E-2</v>
      </c>
      <c r="I29" s="280">
        <f t="shared" ref="I29:J29" si="6">I11+I17+I23</f>
        <v>29806.5</v>
      </c>
      <c r="J29" s="113">
        <f t="shared" si="6"/>
        <v>323894.10000000003</v>
      </c>
      <c r="K29" s="274">
        <f>I29/$I$32</f>
        <v>0.17341338087004279</v>
      </c>
    </row>
    <row r="30" spans="1:20" ht="11.1" customHeight="1">
      <c r="A30" s="412"/>
      <c r="B30" s="412"/>
      <c r="C30" s="135" t="s">
        <v>7</v>
      </c>
      <c r="D30" s="280">
        <f>D24</f>
        <v>165055</v>
      </c>
      <c r="E30" s="113">
        <f t="shared" si="3"/>
        <v>58564.799999999996</v>
      </c>
      <c r="F30" s="113">
        <f t="shared" si="3"/>
        <v>640691.79999999993</v>
      </c>
      <c r="G30" s="274">
        <f>E30/$E$32</f>
        <v>0.33118068451970295</v>
      </c>
      <c r="H30" s="274">
        <f t="shared" si="4"/>
        <v>3.1257428723870676E-2</v>
      </c>
      <c r="I30" s="280">
        <f t="shared" ref="I30:J30" si="7">I12+I18+I24</f>
        <v>56789.7</v>
      </c>
      <c r="J30" s="113">
        <f t="shared" si="7"/>
        <v>617097.5</v>
      </c>
      <c r="K30" s="274">
        <f>I30/$I$32</f>
        <v>0.33040088153910951</v>
      </c>
    </row>
    <row r="31" spans="1:20" ht="11.1" customHeight="1">
      <c r="A31" s="412"/>
      <c r="B31" s="412"/>
      <c r="C31" s="135" t="s">
        <v>90</v>
      </c>
      <c r="D31" s="280">
        <f>D25</f>
        <v>15</v>
      </c>
      <c r="E31" s="113">
        <f>E13+E19+E25</f>
        <v>1237.2049999999999</v>
      </c>
      <c r="F31" s="113">
        <f t="shared" si="3"/>
        <v>13539.241750000001</v>
      </c>
      <c r="G31" s="274">
        <f>E31/$E$32</f>
        <v>6.9963254171652445E-3</v>
      </c>
      <c r="H31" s="274">
        <f t="shared" si="4"/>
        <v>3.9309985635201383E-2</v>
      </c>
      <c r="I31" s="280">
        <f>I13+I19+I25</f>
        <v>1190.4099999999999</v>
      </c>
      <c r="J31" s="113">
        <f t="shared" ref="J31" si="8">J13+J19+J25</f>
        <v>12939.77276</v>
      </c>
      <c r="K31" s="274">
        <f>I31/$I$32</f>
        <v>6.9257719866977875E-3</v>
      </c>
    </row>
    <row r="32" spans="1:20" ht="11.1" customHeight="1">
      <c r="A32" s="417"/>
      <c r="B32" s="417"/>
      <c r="C32" s="285" t="s">
        <v>0</v>
      </c>
      <c r="D32" s="288">
        <f>SUM(D27:D31)</f>
        <v>178350</v>
      </c>
      <c r="E32" s="286">
        <f>SUM(E27:E31)</f>
        <v>176836.4</v>
      </c>
      <c r="F32" s="286">
        <f>SUM(F27:F31)</f>
        <v>1934640.1620800002</v>
      </c>
      <c r="G32" s="287">
        <f>SUM(G27:G31)</f>
        <v>1</v>
      </c>
      <c r="H32" s="287">
        <f>(E32-I32)/I32</f>
        <v>2.8829214597058794E-2</v>
      </c>
      <c r="I32" s="288">
        <f>SUM(I27:I31)</f>
        <v>171881.2</v>
      </c>
      <c r="J32" s="286">
        <f>SUM(J27:J31)</f>
        <v>1867816.1349200001</v>
      </c>
      <c r="K32" s="287">
        <f>SUM(K27:K31)</f>
        <v>0.99999999999999989</v>
      </c>
    </row>
    <row r="33" spans="1:11" ht="9.9499999999999993" customHeight="1">
      <c r="A33" s="324"/>
      <c r="B33" s="325"/>
      <c r="C33" s="326"/>
      <c r="D33" s="327"/>
      <c r="E33" s="327"/>
      <c r="F33" s="327"/>
      <c r="G33" s="328"/>
      <c r="H33" s="329"/>
      <c r="I33" s="327"/>
      <c r="J33" s="327"/>
      <c r="K33" s="328"/>
    </row>
    <row r="34" spans="1:11" ht="12.95" customHeight="1">
      <c r="A34" s="501" t="s">
        <v>41</v>
      </c>
      <c r="B34" s="501"/>
      <c r="C34" s="501"/>
      <c r="D34" s="457">
        <f>D4</f>
        <v>2026</v>
      </c>
      <c r="E34" s="320"/>
      <c r="F34" s="309"/>
      <c r="G34" s="309"/>
      <c r="H34" s="309"/>
      <c r="I34" s="457">
        <f>D34-1</f>
        <v>2025</v>
      </c>
      <c r="J34" s="458"/>
      <c r="K34" s="458"/>
    </row>
    <row r="35" spans="1:11" ht="24.95" customHeight="1">
      <c r="A35" s="271"/>
      <c r="B35" s="250"/>
      <c r="C35" s="131"/>
      <c r="D35" s="459"/>
      <c r="E35" s="321"/>
      <c r="F35" s="322"/>
      <c r="G35" s="322"/>
      <c r="H35" s="323"/>
      <c r="I35" s="459"/>
      <c r="J35" s="460"/>
      <c r="K35" s="460"/>
    </row>
    <row r="36" spans="1:11" ht="24.95" customHeight="1">
      <c r="A36" s="114"/>
      <c r="B36" s="115"/>
      <c r="C36" s="319"/>
      <c r="D36" s="330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4.95" customHeight="1">
      <c r="A37" s="114"/>
      <c r="B37" s="273"/>
      <c r="C37" s="273"/>
      <c r="D37" s="331"/>
      <c r="E37" s="455"/>
      <c r="F37" s="455"/>
      <c r="G37" s="456"/>
      <c r="H37" s="456"/>
      <c r="I37" s="453"/>
      <c r="J37" s="454"/>
      <c r="K37" s="456"/>
    </row>
    <row r="38" spans="1:11" ht="15" customHeight="1">
      <c r="A38" s="500" t="s">
        <v>155</v>
      </c>
      <c r="B38" s="500"/>
      <c r="C38" s="332" t="s">
        <v>180</v>
      </c>
      <c r="D38" s="310"/>
      <c r="E38" s="199" t="s">
        <v>247</v>
      </c>
      <c r="F38" s="199" t="s">
        <v>248</v>
      </c>
      <c r="G38" s="451"/>
      <c r="H38" s="451"/>
      <c r="I38" s="201" t="s">
        <v>247</v>
      </c>
      <c r="J38" s="199" t="s">
        <v>248</v>
      </c>
      <c r="K38" s="451"/>
    </row>
    <row r="39" spans="1:11" ht="11.1" customHeight="1">
      <c r="A39" s="418" t="str">
        <f>'3.1'!D5</f>
        <v>Leden</v>
      </c>
      <c r="B39" s="418"/>
      <c r="C39" s="145" t="s">
        <v>4</v>
      </c>
      <c r="D39" s="279">
        <v>84</v>
      </c>
      <c r="E39" s="275">
        <v>13763.178</v>
      </c>
      <c r="F39" s="275">
        <v>150647.210773</v>
      </c>
      <c r="G39" s="276">
        <f>E39/$E$44</f>
        <v>0.26593528421125362</v>
      </c>
      <c r="H39" s="276">
        <f>(E39-I39)/I39</f>
        <v>0.12887551246988174</v>
      </c>
      <c r="I39" s="279">
        <v>12191.936</v>
      </c>
      <c r="J39" s="275">
        <v>132499.37293400001</v>
      </c>
      <c r="K39" s="276">
        <f>I39/$I$44</f>
        <v>0.2736767490246006</v>
      </c>
    </row>
    <row r="40" spans="1:11" ht="11.1" customHeight="1">
      <c r="A40" s="412"/>
      <c r="B40" s="412"/>
      <c r="C40" s="135" t="s">
        <v>5</v>
      </c>
      <c r="D40" s="280">
        <v>245</v>
      </c>
      <c r="E40" s="113">
        <v>5261.4279999999999</v>
      </c>
      <c r="F40" s="113">
        <v>57589.029670000004</v>
      </c>
      <c r="G40" s="274">
        <f t="shared" ref="G40" si="9">E40/$E$44</f>
        <v>0.10166251940773038</v>
      </c>
      <c r="H40" s="274">
        <f>(E40-I40)/I40</f>
        <v>9.856644669285522E-2</v>
      </c>
      <c r="I40" s="280">
        <v>4789.3580000000002</v>
      </c>
      <c r="J40" s="113">
        <v>52048.516000000003</v>
      </c>
      <c r="K40" s="274">
        <f t="shared" ref="K40:K43" si="10">I40/$I$44</f>
        <v>0.10750843240605619</v>
      </c>
    </row>
    <row r="41" spans="1:11" ht="11.1" customHeight="1">
      <c r="A41" s="412"/>
      <c r="B41" s="412"/>
      <c r="C41" s="135" t="s">
        <v>6</v>
      </c>
      <c r="D41" s="280">
        <v>10951</v>
      </c>
      <c r="E41" s="113">
        <v>11028.843000000001</v>
      </c>
      <c r="F41" s="113">
        <v>120716.61027</v>
      </c>
      <c r="G41" s="274">
        <f>E41/$E$44</f>
        <v>0.21310183576251759</v>
      </c>
      <c r="H41" s="274">
        <f t="shared" ref="H41:H43" si="11">(E41-I41)/I41</f>
        <v>0.17852107551383253</v>
      </c>
      <c r="I41" s="280">
        <v>9358.2060000000001</v>
      </c>
      <c r="J41" s="113">
        <v>101700.82329</v>
      </c>
      <c r="K41" s="274">
        <f t="shared" si="10"/>
        <v>0.21006699795524775</v>
      </c>
    </row>
    <row r="42" spans="1:11" ht="11.1" customHeight="1">
      <c r="A42" s="412"/>
      <c r="B42" s="412"/>
      <c r="C42" s="135" t="s">
        <v>7</v>
      </c>
      <c r="D42" s="280">
        <v>121420</v>
      </c>
      <c r="E42" s="113">
        <v>21498</v>
      </c>
      <c r="F42" s="113">
        <v>235306.6</v>
      </c>
      <c r="G42" s="274">
        <f>E42/$E$44</f>
        <v>0.4153892901750984</v>
      </c>
      <c r="H42" s="274">
        <f t="shared" si="11"/>
        <v>0.19312694941781083</v>
      </c>
      <c r="I42" s="280">
        <v>18018.2</v>
      </c>
      <c r="J42" s="113">
        <v>195814.1</v>
      </c>
      <c r="K42" s="274">
        <f t="shared" si="10"/>
        <v>0.40446098136301395</v>
      </c>
    </row>
    <row r="43" spans="1:11" ht="11.1" customHeight="1">
      <c r="A43" s="412"/>
      <c r="B43" s="412"/>
      <c r="C43" s="135" t="s">
        <v>90</v>
      </c>
      <c r="D43" s="280">
        <v>15</v>
      </c>
      <c r="E43" s="113">
        <v>202.41300000000001</v>
      </c>
      <c r="F43" s="113">
        <v>2215.5106999999998</v>
      </c>
      <c r="G43" s="274">
        <f>E43/$E$44</f>
        <v>3.9110704433999539E-3</v>
      </c>
      <c r="H43" s="274">
        <f t="shared" si="11"/>
        <v>5.990375602833907E-2</v>
      </c>
      <c r="I43" s="280">
        <v>190.97300000000001</v>
      </c>
      <c r="J43" s="113">
        <v>2075.41705</v>
      </c>
      <c r="K43" s="274">
        <f t="shared" si="10"/>
        <v>4.2868392510816214E-3</v>
      </c>
    </row>
    <row r="44" spans="1:11" ht="11.1" customHeight="1">
      <c r="A44" s="417"/>
      <c r="B44" s="417"/>
      <c r="C44" s="285" t="s">
        <v>0</v>
      </c>
      <c r="D44" s="288">
        <v>132715</v>
      </c>
      <c r="E44" s="286">
        <v>51753.862000000001</v>
      </c>
      <c r="F44" s="286">
        <v>566474.96141300001</v>
      </c>
      <c r="G44" s="287">
        <f>SUM(G39:G43)</f>
        <v>1</v>
      </c>
      <c r="H44" s="287">
        <f>(E44-I44)/I44</f>
        <v>0.16173745512015603</v>
      </c>
      <c r="I44" s="288">
        <v>44548.672999999995</v>
      </c>
      <c r="J44" s="286">
        <v>484138.22927399998</v>
      </c>
      <c r="K44" s="287">
        <f>SUM(K39:K43)</f>
        <v>1</v>
      </c>
    </row>
    <row r="45" spans="1:11" ht="11.1" customHeight="1">
      <c r="A45" s="418" t="str">
        <f>'3.1'!E5</f>
        <v>Únor</v>
      </c>
      <c r="B45" s="418"/>
      <c r="C45" s="145" t="s">
        <v>4</v>
      </c>
      <c r="D45" s="279">
        <v>82</v>
      </c>
      <c r="E45" s="275">
        <v>11210.245999999999</v>
      </c>
      <c r="F45" s="275">
        <v>122272.568527</v>
      </c>
      <c r="G45" s="276">
        <f>E45/$E$50</f>
        <v>0.28634393663033553</v>
      </c>
      <c r="H45" s="276">
        <f>(E45-I45)/I45</f>
        <v>-1.625728598624758E-2</v>
      </c>
      <c r="I45" s="279">
        <v>11395.505999999999</v>
      </c>
      <c r="J45" s="275">
        <v>123566.972221</v>
      </c>
      <c r="K45" s="276">
        <f>I45/$I$50</f>
        <v>0.27785956057907013</v>
      </c>
    </row>
    <row r="46" spans="1:11" ht="11.1" customHeight="1">
      <c r="A46" s="412"/>
      <c r="B46" s="412"/>
      <c r="C46" s="135" t="s">
        <v>5</v>
      </c>
      <c r="D46" s="280">
        <v>246</v>
      </c>
      <c r="E46" s="113">
        <v>4126.4110000000001</v>
      </c>
      <c r="F46" s="113">
        <v>45007.551480000002</v>
      </c>
      <c r="G46" s="274">
        <f t="shared" ref="G46:G49" si="12">E46/$E$50</f>
        <v>0.1054011455140877</v>
      </c>
      <c r="H46" s="274">
        <f>(E46-I46)/I46</f>
        <v>-6.3642376967805975E-2</v>
      </c>
      <c r="I46" s="280">
        <v>4406.875</v>
      </c>
      <c r="J46" s="113">
        <v>47785.066440000002</v>
      </c>
      <c r="K46" s="274">
        <f t="shared" ref="K46:K49" si="13">I46/$I$50</f>
        <v>0.10745396922496375</v>
      </c>
    </row>
    <row r="47" spans="1:11" ht="11.1" customHeight="1">
      <c r="A47" s="412"/>
      <c r="B47" s="412"/>
      <c r="C47" s="135" t="s">
        <v>6</v>
      </c>
      <c r="D47" s="280">
        <v>10946</v>
      </c>
      <c r="E47" s="113">
        <v>8288.8240000000005</v>
      </c>
      <c r="F47" s="113">
        <v>90408.393410000004</v>
      </c>
      <c r="G47" s="274">
        <f t="shared" si="12"/>
        <v>0.21172189211512438</v>
      </c>
      <c r="H47" s="274">
        <f t="shared" ref="H47:H49" si="14">(E47-I47)/I47</f>
        <v>-6.3654648529791358E-2</v>
      </c>
      <c r="I47" s="280">
        <v>8852.3150000000005</v>
      </c>
      <c r="J47" s="113">
        <v>95989.406600000002</v>
      </c>
      <c r="K47" s="274">
        <f t="shared" si="13"/>
        <v>0.21584827878705093</v>
      </c>
    </row>
    <row r="48" spans="1:11" ht="11.1" customHeight="1">
      <c r="A48" s="412"/>
      <c r="B48" s="412"/>
      <c r="C48" s="135" t="s">
        <v>7</v>
      </c>
      <c r="D48" s="280">
        <v>121303</v>
      </c>
      <c r="E48" s="113">
        <v>15349</v>
      </c>
      <c r="F48" s="113">
        <v>167415.70000000001</v>
      </c>
      <c r="G48" s="274">
        <f t="shared" si="12"/>
        <v>0.39206036007943273</v>
      </c>
      <c r="H48" s="274">
        <f t="shared" si="14"/>
        <v>-5.1254156828324578E-2</v>
      </c>
      <c r="I48" s="280">
        <v>16178.2</v>
      </c>
      <c r="J48" s="113">
        <v>175425.8</v>
      </c>
      <c r="K48" s="274">
        <f t="shared" si="13"/>
        <v>0.39447722136781932</v>
      </c>
    </row>
    <row r="49" spans="1:11" ht="11.1" customHeight="1">
      <c r="A49" s="412"/>
      <c r="B49" s="412"/>
      <c r="C49" s="135" t="s">
        <v>90</v>
      </c>
      <c r="D49" s="280">
        <v>15</v>
      </c>
      <c r="E49" s="113">
        <v>175.10300000000001</v>
      </c>
      <c r="F49" s="113">
        <v>1909.89824</v>
      </c>
      <c r="G49" s="274">
        <f t="shared" si="12"/>
        <v>4.4726656610195401E-3</v>
      </c>
      <c r="H49" s="274">
        <f t="shared" si="14"/>
        <v>-2.0955991300020634E-2</v>
      </c>
      <c r="I49" s="280">
        <v>178.851</v>
      </c>
      <c r="J49" s="113">
        <v>1939.3566800000001</v>
      </c>
      <c r="K49" s="274">
        <f t="shared" si="13"/>
        <v>4.3609700410957861E-3</v>
      </c>
    </row>
    <row r="50" spans="1:11" ht="11.1" customHeight="1">
      <c r="A50" s="417"/>
      <c r="B50" s="417"/>
      <c r="C50" s="285" t="s">
        <v>0</v>
      </c>
      <c r="D50" s="288">
        <v>132592</v>
      </c>
      <c r="E50" s="286">
        <v>39149.584000000003</v>
      </c>
      <c r="F50" s="286">
        <v>427014.11165700003</v>
      </c>
      <c r="G50" s="287">
        <f>SUM(G45:G49)</f>
        <v>0.99999999999999989</v>
      </c>
      <c r="H50" s="287">
        <f t="shared" ref="H50" si="15">(E50-I50)/I50</f>
        <v>-4.5405600497828102E-2</v>
      </c>
      <c r="I50" s="288">
        <v>41011.747000000003</v>
      </c>
      <c r="J50" s="286">
        <v>444706.60194100003</v>
      </c>
      <c r="K50" s="287">
        <f>SUM(K45:K49)</f>
        <v>1</v>
      </c>
    </row>
    <row r="51" spans="1:11" ht="11.1" customHeight="1">
      <c r="A51" s="418" t="str">
        <f>'3.1'!F5</f>
        <v>Březen</v>
      </c>
      <c r="B51" s="418"/>
      <c r="C51" s="145" t="s">
        <v>4</v>
      </c>
      <c r="D51" s="279">
        <v>83</v>
      </c>
      <c r="E51" s="275">
        <v>11238.288999999999</v>
      </c>
      <c r="F51" s="275">
        <v>123325.121054</v>
      </c>
      <c r="G51" s="276">
        <f>E51/$E$56</f>
        <v>0.35352011956838936</v>
      </c>
      <c r="H51" s="276">
        <f>(E51-I51)/I51</f>
        <v>-1.0347842604090371E-2</v>
      </c>
      <c r="I51" s="279">
        <v>11355.797</v>
      </c>
      <c r="J51" s="275">
        <v>123762.49156900001</v>
      </c>
      <c r="K51" s="276">
        <f>I51/$I$56</f>
        <v>0.3525733048740281</v>
      </c>
    </row>
    <row r="52" spans="1:11" ht="11.1" customHeight="1">
      <c r="A52" s="412"/>
      <c r="B52" s="412"/>
      <c r="C52" s="135" t="s">
        <v>5</v>
      </c>
      <c r="D52" s="280">
        <v>235</v>
      </c>
      <c r="E52" s="113">
        <v>3353.4650000000001</v>
      </c>
      <c r="F52" s="113">
        <v>36801.760179999997</v>
      </c>
      <c r="G52" s="274">
        <f t="shared" ref="G52:G55" si="16">E52/$E$56</f>
        <v>0.10548913164347427</v>
      </c>
      <c r="H52" s="274">
        <f t="shared" ref="H52:H55" si="17">(E52-I52)/I52</f>
        <v>-5.6096831231801569E-3</v>
      </c>
      <c r="I52" s="280">
        <v>3372.3829999999998</v>
      </c>
      <c r="J52" s="113">
        <v>36751.902119999999</v>
      </c>
      <c r="K52" s="274">
        <f t="shared" ref="K52:K55" si="18">I52/$I$56</f>
        <v>0.10470530774819146</v>
      </c>
    </row>
    <row r="53" spans="1:11" ht="11.1" customHeight="1">
      <c r="A53" s="412"/>
      <c r="B53" s="412"/>
      <c r="C53" s="135" t="s">
        <v>6</v>
      </c>
      <c r="D53" s="280">
        <v>10946</v>
      </c>
      <c r="E53" s="113">
        <v>5986.7330000000002</v>
      </c>
      <c r="F53" s="113">
        <v>65699.781220000004</v>
      </c>
      <c r="G53" s="274">
        <f t="shared" si="16"/>
        <v>0.18832320168879998</v>
      </c>
      <c r="H53" s="274">
        <f t="shared" si="17"/>
        <v>-3.4255222223154205E-2</v>
      </c>
      <c r="I53" s="280">
        <v>6199.0839999999998</v>
      </c>
      <c r="J53" s="113">
        <v>67557.613079999996</v>
      </c>
      <c r="K53" s="274">
        <f t="shared" si="18"/>
        <v>0.19246835189742381</v>
      </c>
    </row>
    <row r="54" spans="1:11" ht="11.1" customHeight="1">
      <c r="A54" s="412"/>
      <c r="B54" s="412"/>
      <c r="C54" s="135" t="s">
        <v>7</v>
      </c>
      <c r="D54" s="280">
        <v>121193</v>
      </c>
      <c r="E54" s="113">
        <v>11020</v>
      </c>
      <c r="F54" s="113">
        <v>120937</v>
      </c>
      <c r="G54" s="274">
        <f t="shared" si="16"/>
        <v>0.34665345566782013</v>
      </c>
      <c r="H54" s="274">
        <f t="shared" si="17"/>
        <v>-5.0919071178360878E-3</v>
      </c>
      <c r="I54" s="280">
        <v>11076.4</v>
      </c>
      <c r="J54" s="113">
        <v>120710.8</v>
      </c>
      <c r="K54" s="274">
        <f t="shared" si="18"/>
        <v>0.34389862324121195</v>
      </c>
    </row>
    <row r="55" spans="1:11" ht="11.1" customHeight="1">
      <c r="A55" s="412"/>
      <c r="B55" s="412"/>
      <c r="C55" s="135" t="s">
        <v>90</v>
      </c>
      <c r="D55" s="280">
        <v>15</v>
      </c>
      <c r="E55" s="113">
        <v>191.18600000000001</v>
      </c>
      <c r="F55" s="113">
        <v>2098.1259599999998</v>
      </c>
      <c r="G55" s="274">
        <f t="shared" si="16"/>
        <v>6.0140914315161406E-3</v>
      </c>
      <c r="H55" s="274">
        <f t="shared" si="17"/>
        <v>-6.5858842498717346E-2</v>
      </c>
      <c r="I55" s="280">
        <v>204.66499999999999</v>
      </c>
      <c r="J55" s="113">
        <v>2230.42947</v>
      </c>
      <c r="K55" s="274">
        <f t="shared" si="18"/>
        <v>6.354412239144726E-3</v>
      </c>
    </row>
    <row r="56" spans="1:11" ht="11.1" customHeight="1">
      <c r="A56" s="417"/>
      <c r="B56" s="417"/>
      <c r="C56" s="285" t="s">
        <v>0</v>
      </c>
      <c r="D56" s="288">
        <v>132472</v>
      </c>
      <c r="E56" s="286">
        <v>31789.673000000003</v>
      </c>
      <c r="F56" s="286">
        <v>348861.78841399995</v>
      </c>
      <c r="G56" s="287">
        <f>SUM(G51:G55)</f>
        <v>0.99999999999999989</v>
      </c>
      <c r="H56" s="287">
        <f t="shared" ref="H56" si="19">(E56-I56)/I56</f>
        <v>-1.2998376910518873E-2</v>
      </c>
      <c r="I56" s="288">
        <v>32208.328999999998</v>
      </c>
      <c r="J56" s="286">
        <v>351013.23623899993</v>
      </c>
      <c r="K56" s="287">
        <f>SUM(K51:K55)</f>
        <v>1.0000000000000002</v>
      </c>
    </row>
    <row r="57" spans="1:11" ht="11.1" customHeight="1">
      <c r="A57" s="476" t="str">
        <f>'3.1'!G5</f>
        <v>I. čtvrtletí</v>
      </c>
      <c r="B57" s="418"/>
      <c r="C57" s="145" t="s">
        <v>4</v>
      </c>
      <c r="D57" s="279">
        <f>D51</f>
        <v>83</v>
      </c>
      <c r="E57" s="275">
        <f>E39+E45+E51</f>
        <v>36211.712999999996</v>
      </c>
      <c r="F57" s="275">
        <f>F39+F45+F51</f>
        <v>396244.90035399998</v>
      </c>
      <c r="G57" s="276">
        <f>E57/$E$62</f>
        <v>0.29514053677288943</v>
      </c>
      <c r="H57" s="276">
        <f>(E57-I57)/I57</f>
        <v>3.630098514908691E-2</v>
      </c>
      <c r="I57" s="279">
        <f>I39+I45+I51</f>
        <v>34943.239000000001</v>
      </c>
      <c r="J57" s="275">
        <f>J39+J45+J51</f>
        <v>379828.83672400005</v>
      </c>
      <c r="K57" s="276">
        <f>I57/$I$62</f>
        <v>0.29671062397037096</v>
      </c>
    </row>
    <row r="58" spans="1:11" ht="11.1" customHeight="1">
      <c r="A58" s="412"/>
      <c r="B58" s="412"/>
      <c r="C58" s="135" t="s">
        <v>5</v>
      </c>
      <c r="D58" s="280">
        <f>D52</f>
        <v>235</v>
      </c>
      <c r="E58" s="113">
        <f t="shared" ref="E58:F59" si="20">E40+E46+E52</f>
        <v>12741.304</v>
      </c>
      <c r="F58" s="113">
        <f t="shared" si="20"/>
        <v>139398.34133000002</v>
      </c>
      <c r="G58" s="274">
        <f t="shared" ref="G58:G61" si="21">E58/$E$62</f>
        <v>0.10384693211686957</v>
      </c>
      <c r="H58" s="274">
        <f t="shared" ref="H58:H61" si="22">(E58-I58)/I58</f>
        <v>1.3739619382118136E-2</v>
      </c>
      <c r="I58" s="280">
        <f t="shared" ref="I58:J58" si="23">I40+I46+I52</f>
        <v>12568.616</v>
      </c>
      <c r="J58" s="113">
        <f t="shared" si="23"/>
        <v>136585.48456000001</v>
      </c>
      <c r="K58" s="274">
        <f t="shared" ref="K58:K61" si="24">I58/$I$62</f>
        <v>0.10672284546386748</v>
      </c>
    </row>
    <row r="59" spans="1:11" ht="11.1" customHeight="1">
      <c r="A59" s="412"/>
      <c r="B59" s="412"/>
      <c r="C59" s="135" t="s">
        <v>6</v>
      </c>
      <c r="D59" s="280">
        <f>D53</f>
        <v>10946</v>
      </c>
      <c r="E59" s="113">
        <f>E41+E47+E53</f>
        <v>25304.400000000001</v>
      </c>
      <c r="F59" s="113">
        <f t="shared" si="20"/>
        <v>276824.78490000003</v>
      </c>
      <c r="G59" s="274">
        <f t="shared" si="21"/>
        <v>0.20624139484138473</v>
      </c>
      <c r="H59" s="274">
        <f t="shared" si="22"/>
        <v>3.6657496096311346E-2</v>
      </c>
      <c r="I59" s="280">
        <f>I41+I47+I53</f>
        <v>24409.605</v>
      </c>
      <c r="J59" s="113">
        <f t="shared" ref="J59" si="25">J41+J47+J53</f>
        <v>265247.84297</v>
      </c>
      <c r="K59" s="274">
        <f t="shared" si="24"/>
        <v>0.20726725219777956</v>
      </c>
    </row>
    <row r="60" spans="1:11" ht="11.1" customHeight="1">
      <c r="A60" s="412"/>
      <c r="B60" s="412"/>
      <c r="C60" s="135" t="s">
        <v>7</v>
      </c>
      <c r="D60" s="280">
        <f>D54</f>
        <v>121193</v>
      </c>
      <c r="E60" s="113">
        <f t="shared" ref="E60:F61" si="26">E42+E48+E54</f>
        <v>47867</v>
      </c>
      <c r="F60" s="113">
        <f t="shared" si="26"/>
        <v>523659.30000000005</v>
      </c>
      <c r="G60" s="274">
        <f t="shared" si="21"/>
        <v>0.39013597820428708</v>
      </c>
      <c r="H60" s="274">
        <f t="shared" si="22"/>
        <v>5.7301514375077238E-2</v>
      </c>
      <c r="I60" s="280">
        <f t="shared" ref="I60:J60" si="27">I42+I48+I54</f>
        <v>45272.800000000003</v>
      </c>
      <c r="J60" s="113">
        <f t="shared" si="27"/>
        <v>491950.7</v>
      </c>
      <c r="K60" s="274">
        <f t="shared" si="24"/>
        <v>0.38442116762232059</v>
      </c>
    </row>
    <row r="61" spans="1:11" ht="11.1" customHeight="1">
      <c r="A61" s="412"/>
      <c r="B61" s="412"/>
      <c r="C61" s="135" t="s">
        <v>90</v>
      </c>
      <c r="D61" s="280">
        <f>D55</f>
        <v>15</v>
      </c>
      <c r="E61" s="113">
        <f>E43+E49+E55</f>
        <v>568.702</v>
      </c>
      <c r="F61" s="113">
        <f t="shared" si="26"/>
        <v>6223.5348999999987</v>
      </c>
      <c r="G61" s="274">
        <f t="shared" si="21"/>
        <v>4.6351580645692123E-3</v>
      </c>
      <c r="H61" s="274">
        <f t="shared" si="22"/>
        <v>-1.0073299923932459E-2</v>
      </c>
      <c r="I61" s="280">
        <f>I43+I49+I55</f>
        <v>574.48900000000003</v>
      </c>
      <c r="J61" s="113">
        <f t="shared" ref="J61" si="28">J43+J49+J55</f>
        <v>6245.2031999999999</v>
      </c>
      <c r="K61" s="274">
        <f t="shared" si="24"/>
        <v>4.8781107456613978E-3</v>
      </c>
    </row>
    <row r="62" spans="1:11" ht="11.1" customHeight="1">
      <c r="A62" s="417"/>
      <c r="B62" s="417"/>
      <c r="C62" s="285" t="s">
        <v>0</v>
      </c>
      <c r="D62" s="288">
        <f>SUM(D57:D61)</f>
        <v>132472</v>
      </c>
      <c r="E62" s="286">
        <f>SUM(E57:E61)</f>
        <v>122693.11899999999</v>
      </c>
      <c r="F62" s="286">
        <f>SUM(F57:F61)</f>
        <v>1342350.8614840002</v>
      </c>
      <c r="G62" s="287">
        <f>SUM(G57:G61)</f>
        <v>1</v>
      </c>
      <c r="H62" s="287">
        <f>(E62-I62)/I62</f>
        <v>4.1813894108699248E-2</v>
      </c>
      <c r="I62" s="288">
        <f>SUM(I57:I61)</f>
        <v>117768.74900000001</v>
      </c>
      <c r="J62" s="286">
        <f>SUM(J57:J61)</f>
        <v>1279858.0674540002</v>
      </c>
      <c r="K62" s="287">
        <f>SUM(K57:K61)</f>
        <v>0.99999999999999989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20"/>
  <sheetViews>
    <sheetView showGridLines="0" topLeftCell="A18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16" s="91" customFormat="1" ht="18">
      <c r="A1" s="485" t="s">
        <v>291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502"/>
      <c r="B3" s="502"/>
      <c r="C3" s="502"/>
      <c r="D3" s="267"/>
      <c r="E3" s="267"/>
      <c r="F3" s="268"/>
      <c r="G3" s="269"/>
      <c r="H3" s="269"/>
      <c r="I3" s="269"/>
    </row>
    <row r="4" spans="1:16" ht="12.95" customHeight="1">
      <c r="A4" s="463" t="s">
        <v>42</v>
      </c>
      <c r="B4" s="463"/>
      <c r="C4" s="463"/>
      <c r="D4" s="457">
        <f>'3.1'!A4</f>
        <v>2026</v>
      </c>
      <c r="E4" s="320"/>
      <c r="F4" s="309"/>
      <c r="G4" s="309"/>
      <c r="H4" s="309"/>
      <c r="I4" s="457">
        <f>D4-1</f>
        <v>2025</v>
      </c>
      <c r="J4" s="458"/>
      <c r="K4" s="458"/>
    </row>
    <row r="5" spans="1:16" ht="24.95" customHeight="1">
      <c r="A5" s="131"/>
      <c r="B5" s="131"/>
      <c r="C5" s="131"/>
      <c r="D5" s="459"/>
      <c r="E5" s="321"/>
      <c r="F5" s="322"/>
      <c r="G5" s="322"/>
      <c r="H5" s="323"/>
      <c r="I5" s="459"/>
      <c r="J5" s="460"/>
      <c r="K5" s="460"/>
    </row>
    <row r="6" spans="1:16" ht="24.95" customHeight="1">
      <c r="A6" s="271"/>
      <c r="B6" s="250"/>
      <c r="C6" s="272"/>
      <c r="D6" s="330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4.95" customHeight="1">
      <c r="A7" s="271"/>
      <c r="B7" s="273"/>
      <c r="D7" s="331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0" t="s">
        <v>180</v>
      </c>
      <c r="D8" s="310"/>
      <c r="E8" s="199" t="s">
        <v>247</v>
      </c>
      <c r="F8" s="199" t="s">
        <v>248</v>
      </c>
      <c r="G8" s="451"/>
      <c r="H8" s="451"/>
      <c r="I8" s="201" t="s">
        <v>247</v>
      </c>
      <c r="J8" s="199" t="s">
        <v>248</v>
      </c>
      <c r="K8" s="451"/>
    </row>
    <row r="9" spans="1:16" ht="11.1" customHeight="1">
      <c r="A9" s="418" t="str">
        <f>'3.1'!D5</f>
        <v>Leden</v>
      </c>
      <c r="B9" s="418"/>
      <c r="C9" s="145" t="s">
        <v>4</v>
      </c>
      <c r="D9" s="279">
        <v>85</v>
      </c>
      <c r="E9" s="275">
        <v>13098.593999999999</v>
      </c>
      <c r="F9" s="275">
        <v>143370.81601000001</v>
      </c>
      <c r="G9" s="276">
        <f>E9/$E$14</f>
        <v>0.25267544502658201</v>
      </c>
      <c r="H9" s="276">
        <f>(E9-I9)/I9</f>
        <v>-2.8635200165639245E-2</v>
      </c>
      <c r="I9" s="279">
        <v>13484.732</v>
      </c>
      <c r="J9" s="275">
        <v>146546.07373</v>
      </c>
      <c r="K9" s="276">
        <f>I9/$I$14</f>
        <v>0.29116893099904129</v>
      </c>
    </row>
    <row r="10" spans="1:16" ht="11.1" customHeight="1">
      <c r="A10" s="412"/>
      <c r="B10" s="412"/>
      <c r="C10" s="135" t="s">
        <v>5</v>
      </c>
      <c r="D10" s="280">
        <v>305</v>
      </c>
      <c r="E10" s="113">
        <v>6590.2690000000002</v>
      </c>
      <c r="F10" s="113">
        <v>72133.574869999997</v>
      </c>
      <c r="G10" s="274">
        <f>E10/$E$14</f>
        <v>0.12712808355002739</v>
      </c>
      <c r="H10" s="274">
        <f>(E10-I10)/I10</f>
        <v>0.14209726944180934</v>
      </c>
      <c r="I10" s="280">
        <v>5770.3220000000001</v>
      </c>
      <c r="J10" s="113">
        <v>62709.664680000002</v>
      </c>
      <c r="K10" s="274">
        <f>I10/$I$14</f>
        <v>0.12459561586097892</v>
      </c>
      <c r="L10" s="68"/>
      <c r="N10" s="68"/>
      <c r="O10" s="68"/>
      <c r="P10" s="68"/>
    </row>
    <row r="11" spans="1:16" ht="11.1" customHeight="1">
      <c r="A11" s="412"/>
      <c r="B11" s="412"/>
      <c r="C11" s="135" t="s">
        <v>6</v>
      </c>
      <c r="D11" s="280">
        <v>11414</v>
      </c>
      <c r="E11" s="113">
        <v>11774.52</v>
      </c>
      <c r="F11" s="113">
        <v>128878.03365</v>
      </c>
      <c r="G11" s="274">
        <f>E11/$E$14</f>
        <v>0.22713369701926714</v>
      </c>
      <c r="H11" s="274">
        <f t="shared" ref="H11:H13" si="0">(E11-I11)/I11</f>
        <v>0.14809856401385774</v>
      </c>
      <c r="I11" s="280">
        <v>10255.67</v>
      </c>
      <c r="J11" s="113">
        <v>111454.91541</v>
      </c>
      <c r="K11" s="274">
        <f>I11/$I$14</f>
        <v>0.22144544441661412</v>
      </c>
      <c r="L11" s="68"/>
      <c r="N11" s="68"/>
      <c r="O11" s="68"/>
      <c r="P11" s="68"/>
    </row>
    <row r="12" spans="1:16" ht="11.1" customHeight="1">
      <c r="A12" s="412"/>
      <c r="B12" s="412"/>
      <c r="C12" s="135" t="s">
        <v>7</v>
      </c>
      <c r="D12" s="280">
        <v>142515</v>
      </c>
      <c r="E12" s="113">
        <v>20246.900000000001</v>
      </c>
      <c r="F12" s="113">
        <v>221612.3</v>
      </c>
      <c r="G12" s="274">
        <f>E12/$E$14</f>
        <v>0.39056821426091254</v>
      </c>
      <c r="H12" s="274">
        <f t="shared" si="0"/>
        <v>0.21560657548721782</v>
      </c>
      <c r="I12" s="280">
        <v>16655.8</v>
      </c>
      <c r="J12" s="113">
        <v>181008.8</v>
      </c>
      <c r="K12" s="274">
        <f>I12/$I$14</f>
        <v>0.35964018275882914</v>
      </c>
      <c r="L12" s="68"/>
      <c r="N12" s="68"/>
      <c r="O12" s="68"/>
      <c r="P12" s="68"/>
    </row>
    <row r="13" spans="1:16" ht="11.1" customHeight="1">
      <c r="A13" s="412"/>
      <c r="B13" s="412"/>
      <c r="C13" s="135" t="s">
        <v>90</v>
      </c>
      <c r="D13" s="280">
        <v>15</v>
      </c>
      <c r="E13" s="113">
        <v>129.31700000000001</v>
      </c>
      <c r="F13" s="113">
        <v>1415.4374399999999</v>
      </c>
      <c r="G13" s="274">
        <f>E13/$E$14</f>
        <v>2.494560143210982E-3</v>
      </c>
      <c r="H13" s="274">
        <f t="shared" si="0"/>
        <v>-0.11351421755463542</v>
      </c>
      <c r="I13" s="280">
        <v>145.876</v>
      </c>
      <c r="J13" s="113">
        <v>1585.3241399999999</v>
      </c>
      <c r="K13" s="274">
        <f>I13/$I$14</f>
        <v>3.1498259645364956E-3</v>
      </c>
      <c r="L13" s="68"/>
      <c r="N13" s="68"/>
      <c r="O13" s="68"/>
      <c r="P13" s="68"/>
    </row>
    <row r="14" spans="1:16" ht="11.1" customHeight="1">
      <c r="A14" s="417"/>
      <c r="B14" s="417"/>
      <c r="C14" s="285" t="s">
        <v>0</v>
      </c>
      <c r="D14" s="288">
        <v>154334</v>
      </c>
      <c r="E14" s="286">
        <v>51839.6</v>
      </c>
      <c r="F14" s="286">
        <v>567410.16197000002</v>
      </c>
      <c r="G14" s="287">
        <f>SUM(G9:G13)</f>
        <v>1</v>
      </c>
      <c r="H14" s="287">
        <f>(E14-I14)/I14</f>
        <v>0.11934600668503462</v>
      </c>
      <c r="I14" s="288">
        <v>46312.4</v>
      </c>
      <c r="J14" s="286">
        <v>503304.77795999998</v>
      </c>
      <c r="K14" s="287">
        <f>SUM(K9:K13)</f>
        <v>0.99999999999999989</v>
      </c>
      <c r="L14" s="68"/>
    </row>
    <row r="15" spans="1:16" ht="11.1" customHeight="1">
      <c r="A15" s="418" t="str">
        <f>'3.1'!E5</f>
        <v>Únor</v>
      </c>
      <c r="B15" s="418"/>
      <c r="C15" s="145" t="s">
        <v>4</v>
      </c>
      <c r="D15" s="279">
        <v>85</v>
      </c>
      <c r="E15" s="275">
        <v>12108.291999999999</v>
      </c>
      <c r="F15" s="275">
        <v>132068.14814999999</v>
      </c>
      <c r="G15" s="276">
        <f>E15/$E$20</f>
        <v>0.30006968744733792</v>
      </c>
      <c r="H15" s="276">
        <f>(E15-I15)/I15</f>
        <v>-0.11122356342897947</v>
      </c>
      <c r="I15" s="279">
        <v>13623.552</v>
      </c>
      <c r="J15" s="275">
        <v>147724.9448</v>
      </c>
      <c r="K15" s="276">
        <f>I15/$I$20</f>
        <v>0.3113634483310288</v>
      </c>
      <c r="L15" s="68"/>
      <c r="M15" s="68"/>
    </row>
    <row r="16" spans="1:16" ht="11.1" customHeight="1">
      <c r="A16" s="412"/>
      <c r="B16" s="412"/>
      <c r="C16" s="135" t="s">
        <v>5</v>
      </c>
      <c r="D16" s="280">
        <v>305</v>
      </c>
      <c r="E16" s="113">
        <v>4813.902</v>
      </c>
      <c r="F16" s="113">
        <v>52506.199220000002</v>
      </c>
      <c r="G16" s="274">
        <f>E16/$E$20</f>
        <v>0.11929891255860982</v>
      </c>
      <c r="H16" s="274">
        <f>(E16-I16)/I16</f>
        <v>-9.7436641630991791E-2</v>
      </c>
      <c r="I16" s="280">
        <v>5333.5889999999999</v>
      </c>
      <c r="J16" s="113">
        <v>57834.212039999999</v>
      </c>
      <c r="K16" s="274">
        <f>I16/$I$20</f>
        <v>0.12189806762732976</v>
      </c>
      <c r="L16" s="86"/>
      <c r="M16" s="68"/>
    </row>
    <row r="17" spans="1:20" ht="11.1" customHeight="1">
      <c r="A17" s="412"/>
      <c r="B17" s="412"/>
      <c r="C17" s="135" t="s">
        <v>6</v>
      </c>
      <c r="D17" s="280">
        <v>11409</v>
      </c>
      <c r="E17" s="113">
        <v>8847.5679999999993</v>
      </c>
      <c r="F17" s="113">
        <v>96502.322140000004</v>
      </c>
      <c r="G17" s="274">
        <f>E17/$E$20</f>
        <v>0.21926188800444096</v>
      </c>
      <c r="H17" s="274">
        <f t="shared" ref="H17:H20" si="1">(E17-I17)/I17</f>
        <v>-8.7940234901906125E-2</v>
      </c>
      <c r="I17" s="280">
        <v>9700.6450000000004</v>
      </c>
      <c r="J17" s="113">
        <v>105187.99256</v>
      </c>
      <c r="K17" s="274">
        <f>I17/$I$20</f>
        <v>0.22170622450262259</v>
      </c>
      <c r="L17" s="68"/>
      <c r="M17" s="68"/>
      <c r="N17" s="68"/>
      <c r="O17" s="68"/>
    </row>
    <row r="18" spans="1:20" ht="11.1" customHeight="1">
      <c r="A18" s="412"/>
      <c r="B18" s="412"/>
      <c r="C18" s="135" t="s">
        <v>7</v>
      </c>
      <c r="D18" s="280">
        <v>142377</v>
      </c>
      <c r="E18" s="113">
        <v>14455.7</v>
      </c>
      <c r="F18" s="113">
        <v>157672.4</v>
      </c>
      <c r="G18" s="274">
        <f>E18/$E$20</f>
        <v>0.35824353928964409</v>
      </c>
      <c r="H18" s="274">
        <f t="shared" si="1"/>
        <v>-3.3386827148110948E-2</v>
      </c>
      <c r="I18" s="280">
        <v>14955</v>
      </c>
      <c r="J18" s="113">
        <v>162162.1</v>
      </c>
      <c r="K18" s="274">
        <f>I18/$I$20</f>
        <v>0.34179341553440218</v>
      </c>
      <c r="L18" s="68"/>
      <c r="M18" s="68"/>
      <c r="N18" s="68"/>
      <c r="O18" s="68"/>
    </row>
    <row r="19" spans="1:20" ht="11.1" customHeight="1">
      <c r="A19" s="412"/>
      <c r="B19" s="412"/>
      <c r="C19" s="135" t="s">
        <v>90</v>
      </c>
      <c r="D19" s="280">
        <v>15</v>
      </c>
      <c r="E19" s="113">
        <v>126.13800000000001</v>
      </c>
      <c r="F19" s="113">
        <v>1375.83529</v>
      </c>
      <c r="G19" s="274">
        <f>E19/$E$20</f>
        <v>3.125972699967288E-3</v>
      </c>
      <c r="H19" s="274">
        <f t="shared" si="1"/>
        <v>-0.10991151191837076</v>
      </c>
      <c r="I19" s="280">
        <v>141.714</v>
      </c>
      <c r="J19" s="113">
        <v>1536.6554000000001</v>
      </c>
      <c r="K19" s="274">
        <f>I19/$I$20</f>
        <v>3.238844004616668E-3</v>
      </c>
      <c r="L19" s="68"/>
      <c r="M19" s="68"/>
      <c r="N19" s="68"/>
      <c r="O19" s="68"/>
    </row>
    <row r="20" spans="1:20" ht="11.1" customHeight="1">
      <c r="A20" s="417"/>
      <c r="B20" s="417"/>
      <c r="C20" s="285" t="s">
        <v>0</v>
      </c>
      <c r="D20" s="288">
        <v>154191</v>
      </c>
      <c r="E20" s="286">
        <v>40351.599999999999</v>
      </c>
      <c r="F20" s="286">
        <v>440124.90480000008</v>
      </c>
      <c r="G20" s="287">
        <f>SUM(G15:G19)</f>
        <v>1</v>
      </c>
      <c r="H20" s="287">
        <f t="shared" si="1"/>
        <v>-7.7772571964026593E-2</v>
      </c>
      <c r="I20" s="288">
        <v>43754.5</v>
      </c>
      <c r="J20" s="286">
        <v>474445.90479999996</v>
      </c>
      <c r="K20" s="287">
        <f>SUM(K15:K19)</f>
        <v>1</v>
      </c>
      <c r="L20" s="68"/>
      <c r="M20" s="68"/>
      <c r="N20" s="68"/>
      <c r="O20" s="68"/>
    </row>
    <row r="21" spans="1:20" ht="11.1" customHeight="1">
      <c r="A21" s="418" t="str">
        <f>'3.1'!F5</f>
        <v>Březen</v>
      </c>
      <c r="B21" s="418"/>
      <c r="C21" s="145" t="s">
        <v>4</v>
      </c>
      <c r="D21" s="279">
        <v>85</v>
      </c>
      <c r="E21" s="275">
        <v>12187.715</v>
      </c>
      <c r="F21" s="275">
        <v>133751.63307000001</v>
      </c>
      <c r="G21" s="276">
        <f>E21/$E$26</f>
        <v>0.36850877387660391</v>
      </c>
      <c r="H21" s="276">
        <f>(E21-I21)/I21</f>
        <v>-6.0146334658500451E-2</v>
      </c>
      <c r="I21" s="279">
        <v>12967.673000000001</v>
      </c>
      <c r="J21" s="275">
        <v>141321.64812</v>
      </c>
      <c r="K21" s="276">
        <f>I21/$I$26</f>
        <v>0.37988261659245376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" customHeight="1">
      <c r="A22" s="412"/>
      <c r="B22" s="412"/>
      <c r="C22" s="135" t="s">
        <v>5</v>
      </c>
      <c r="D22" s="280">
        <v>299</v>
      </c>
      <c r="E22" s="113">
        <v>3982.7820000000002</v>
      </c>
      <c r="F22" s="113">
        <v>43708.529040000001</v>
      </c>
      <c r="G22" s="274">
        <f>E22/$E$26</f>
        <v>0.12042373089933663</v>
      </c>
      <c r="H22" s="274">
        <f t="shared" ref="H22:H26" si="2">(E22-I22)/I22</f>
        <v>-4.3091992242930507E-4</v>
      </c>
      <c r="I22" s="280">
        <v>3984.4989999999998</v>
      </c>
      <c r="J22" s="113">
        <v>43422.549379999997</v>
      </c>
      <c r="K22" s="274">
        <f>I22/$I$26</f>
        <v>0.11672425005858916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" customHeight="1">
      <c r="A23" s="412"/>
      <c r="B23" s="412"/>
      <c r="C23" s="135" t="s">
        <v>6</v>
      </c>
      <c r="D23" s="280">
        <v>11410</v>
      </c>
      <c r="E23" s="113">
        <v>6388.9750000000004</v>
      </c>
      <c r="F23" s="113">
        <v>70113.930850000004</v>
      </c>
      <c r="G23" s="274">
        <f>E23/$E$26</f>
        <v>0.19317758444288169</v>
      </c>
      <c r="H23" s="274">
        <f t="shared" si="2"/>
        <v>-5.9947731182548897E-2</v>
      </c>
      <c r="I23" s="280">
        <v>6796.4040000000005</v>
      </c>
      <c r="J23" s="113">
        <v>74067.231409999993</v>
      </c>
      <c r="K23" s="274">
        <f>I23/$I$26</f>
        <v>0.19909784391844387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" customHeight="1">
      <c r="A24" s="412"/>
      <c r="B24" s="412"/>
      <c r="C24" s="135" t="s">
        <v>7</v>
      </c>
      <c r="D24" s="280">
        <v>142248</v>
      </c>
      <c r="E24" s="113">
        <v>10378.700000000001</v>
      </c>
      <c r="F24" s="113">
        <v>113898.7</v>
      </c>
      <c r="G24" s="274">
        <f>E24/$E$26</f>
        <v>0.31381124447307057</v>
      </c>
      <c r="H24" s="274">
        <f t="shared" si="2"/>
        <v>1.3643910538138562E-2</v>
      </c>
      <c r="I24" s="280">
        <v>10239</v>
      </c>
      <c r="J24" s="113">
        <v>111584</v>
      </c>
      <c r="K24" s="274">
        <f>I24/$I$26</f>
        <v>0.29994726974455121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" customHeight="1">
      <c r="A25" s="412"/>
      <c r="B25" s="412"/>
      <c r="C25" s="135" t="s">
        <v>90</v>
      </c>
      <c r="D25" s="280">
        <v>15</v>
      </c>
      <c r="E25" s="113">
        <v>134.89400000000001</v>
      </c>
      <c r="F25" s="113">
        <v>1480.37048</v>
      </c>
      <c r="G25" s="274">
        <f>E25/$E$26</f>
        <v>4.078666308107025E-3</v>
      </c>
      <c r="H25" s="274">
        <f t="shared" si="2"/>
        <v>-9.1157764242979569E-2</v>
      </c>
      <c r="I25" s="280">
        <v>148.42400000000001</v>
      </c>
      <c r="J25" s="113">
        <v>1617.5159000000001</v>
      </c>
      <c r="K25" s="274">
        <f>I25/$I$26</f>
        <v>4.3480196859620344E-3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" customHeight="1">
      <c r="A26" s="417"/>
      <c r="B26" s="417"/>
      <c r="C26" s="285" t="s">
        <v>0</v>
      </c>
      <c r="D26" s="288">
        <v>154057</v>
      </c>
      <c r="E26" s="286">
        <v>33073.066000000006</v>
      </c>
      <c r="F26" s="286">
        <v>362953.16343999997</v>
      </c>
      <c r="G26" s="287">
        <f>SUM(G21:G25)</f>
        <v>0.99999999999999989</v>
      </c>
      <c r="H26" s="287">
        <f t="shared" si="2"/>
        <v>-3.1138211858448377E-2</v>
      </c>
      <c r="I26" s="288">
        <v>34136</v>
      </c>
      <c r="J26" s="286">
        <v>372012.94481000002</v>
      </c>
      <c r="K26" s="287">
        <f>SUM(K21:K25)</f>
        <v>1</v>
      </c>
    </row>
    <row r="27" spans="1:20" ht="11.1" customHeight="1">
      <c r="A27" s="476" t="str">
        <f>'3.1'!G5</f>
        <v>I. čtvrtletí</v>
      </c>
      <c r="B27" s="418"/>
      <c r="C27" s="145" t="s">
        <v>4</v>
      </c>
      <c r="D27" s="279">
        <f>D21</f>
        <v>85</v>
      </c>
      <c r="E27" s="275">
        <f>E9+E15+E21</f>
        <v>37394.600999999995</v>
      </c>
      <c r="F27" s="275">
        <f>F9+F15+F21</f>
        <v>409190.59722999996</v>
      </c>
      <c r="G27" s="276">
        <f>E27/$E$32</f>
        <v>0.29852568648747757</v>
      </c>
      <c r="H27" s="276">
        <f>(E27-I27)/I27</f>
        <v>-6.6906848911930092E-2</v>
      </c>
      <c r="I27" s="279">
        <f>I9+I15+I21</f>
        <v>40075.957000000002</v>
      </c>
      <c r="J27" s="275">
        <f>J9+J15+J21</f>
        <v>435592.66665000003</v>
      </c>
      <c r="K27" s="276">
        <f>I27/$I$32</f>
        <v>0.32266522762350958</v>
      </c>
    </row>
    <row r="28" spans="1:20" ht="11.1" customHeight="1">
      <c r="A28" s="412"/>
      <c r="B28" s="412"/>
      <c r="C28" s="135" t="s">
        <v>5</v>
      </c>
      <c r="D28" s="280">
        <f>D22</f>
        <v>299</v>
      </c>
      <c r="E28" s="113">
        <f t="shared" ref="E28:F31" si="3">E10+E16+E22</f>
        <v>15386.953000000001</v>
      </c>
      <c r="F28" s="113">
        <f t="shared" si="3"/>
        <v>168348.30312999999</v>
      </c>
      <c r="G28" s="274">
        <f>E28/$E$32</f>
        <v>0.12283593311439674</v>
      </c>
      <c r="H28" s="274">
        <f t="shared" ref="H28:H31" si="4">(E28-I28)/I28</f>
        <v>1.9786246529621177E-2</v>
      </c>
      <c r="I28" s="280">
        <f t="shared" ref="I28:J28" si="5">I10+I16+I22</f>
        <v>15088.41</v>
      </c>
      <c r="J28" s="113">
        <f t="shared" si="5"/>
        <v>163966.42609999998</v>
      </c>
      <c r="K28" s="274">
        <f>I28/$I$32</f>
        <v>0.12148194607372291</v>
      </c>
    </row>
    <row r="29" spans="1:20" ht="11.1" customHeight="1">
      <c r="A29" s="412"/>
      <c r="B29" s="412"/>
      <c r="C29" s="135" t="s">
        <v>6</v>
      </c>
      <c r="D29" s="280">
        <f>D23</f>
        <v>11410</v>
      </c>
      <c r="E29" s="113">
        <f t="shared" si="3"/>
        <v>27011.063000000002</v>
      </c>
      <c r="F29" s="113">
        <f t="shared" si="3"/>
        <v>295494.28664000001</v>
      </c>
      <c r="G29" s="274">
        <f>E29/$E$32</f>
        <v>0.21563262902127253</v>
      </c>
      <c r="H29" s="274">
        <f t="shared" si="4"/>
        <v>9.6567380683809101E-3</v>
      </c>
      <c r="I29" s="280">
        <f t="shared" ref="I29:J29" si="6">I11+I17+I23</f>
        <v>26752.719000000005</v>
      </c>
      <c r="J29" s="113">
        <f t="shared" si="6"/>
        <v>290710.13938000001</v>
      </c>
      <c r="K29" s="274">
        <f>I29/$I$32</f>
        <v>0.21539528465116356</v>
      </c>
    </row>
    <row r="30" spans="1:20" ht="11.1" customHeight="1">
      <c r="A30" s="412"/>
      <c r="B30" s="412"/>
      <c r="C30" s="135" t="s">
        <v>7</v>
      </c>
      <c r="D30" s="280">
        <f>D24</f>
        <v>142248</v>
      </c>
      <c r="E30" s="113">
        <f t="shared" si="3"/>
        <v>45081.3</v>
      </c>
      <c r="F30" s="113">
        <f t="shared" si="3"/>
        <v>493183.39999999997</v>
      </c>
      <c r="G30" s="274">
        <f>E30/$E$32</f>
        <v>0.35988954743086909</v>
      </c>
      <c r="H30" s="274">
        <f t="shared" si="4"/>
        <v>7.7216617522664385E-2</v>
      </c>
      <c r="I30" s="280">
        <f t="shared" ref="I30:J30" si="7">I12+I18+I24</f>
        <v>41849.800000000003</v>
      </c>
      <c r="J30" s="113">
        <f t="shared" si="7"/>
        <v>454754.9</v>
      </c>
      <c r="K30" s="274">
        <f>I30/$I$32</f>
        <v>0.33694704390960273</v>
      </c>
    </row>
    <row r="31" spans="1:20" ht="11.1" customHeight="1">
      <c r="A31" s="412"/>
      <c r="B31" s="412"/>
      <c r="C31" s="135" t="s">
        <v>90</v>
      </c>
      <c r="D31" s="280">
        <f>D25</f>
        <v>15</v>
      </c>
      <c r="E31" s="113">
        <f>E13+E19+E25</f>
        <v>390.34900000000005</v>
      </c>
      <c r="F31" s="113">
        <f t="shared" si="3"/>
        <v>4271.6432100000002</v>
      </c>
      <c r="G31" s="274">
        <f>E31/$E$32</f>
        <v>3.116203945984085E-3</v>
      </c>
      <c r="H31" s="274">
        <f t="shared" si="4"/>
        <v>-0.10473287554986759</v>
      </c>
      <c r="I31" s="280">
        <f>I13+I19+I25</f>
        <v>436.01400000000001</v>
      </c>
      <c r="J31" s="113">
        <f t="shared" ref="J31" si="8">J13+J19+J25</f>
        <v>4739.4954400000006</v>
      </c>
      <c r="K31" s="274">
        <f>I31/$I$32</f>
        <v>3.5104977420011931E-3</v>
      </c>
    </row>
    <row r="32" spans="1:20" ht="11.1" customHeight="1">
      <c r="A32" s="417"/>
      <c r="B32" s="417"/>
      <c r="C32" s="285" t="s">
        <v>0</v>
      </c>
      <c r="D32" s="288">
        <f>SUM(D27:D31)</f>
        <v>154057</v>
      </c>
      <c r="E32" s="286">
        <f>SUM(E27:E31)</f>
        <v>125264.266</v>
      </c>
      <c r="F32" s="286">
        <f>SUM(F27:F31)</f>
        <v>1370488.2302099997</v>
      </c>
      <c r="G32" s="287">
        <f>SUM(G27:G31)</f>
        <v>1</v>
      </c>
      <c r="H32" s="287">
        <f>(E32-I32)/I32</f>
        <v>8.5454204370428912E-3</v>
      </c>
      <c r="I32" s="288">
        <f>SUM(I27:I31)</f>
        <v>124202.90000000001</v>
      </c>
      <c r="J32" s="286">
        <f>SUM(J27:J31)</f>
        <v>1349763.6275700002</v>
      </c>
      <c r="K32" s="287">
        <f>SUM(K27:K31)</f>
        <v>1</v>
      </c>
    </row>
    <row r="33" spans="1:11" ht="9.9499999999999993" customHeight="1">
      <c r="A33" s="324"/>
      <c r="B33" s="325"/>
      <c r="C33" s="326"/>
      <c r="D33" s="327"/>
      <c r="E33" s="327"/>
      <c r="F33" s="327"/>
      <c r="G33" s="328"/>
      <c r="H33" s="329"/>
      <c r="I33" s="327"/>
      <c r="J33" s="327"/>
      <c r="K33" s="328"/>
    </row>
    <row r="34" spans="1:11" ht="12.95" customHeight="1">
      <c r="A34" s="501" t="s">
        <v>87</v>
      </c>
      <c r="B34" s="501"/>
      <c r="C34" s="501"/>
      <c r="D34" s="457">
        <f>D4</f>
        <v>2026</v>
      </c>
      <c r="E34" s="320"/>
      <c r="F34" s="309"/>
      <c r="G34" s="309"/>
      <c r="H34" s="309"/>
      <c r="I34" s="457">
        <f>D34-1</f>
        <v>2025</v>
      </c>
      <c r="J34" s="458"/>
      <c r="K34" s="458"/>
    </row>
    <row r="35" spans="1:11" ht="24.95" customHeight="1">
      <c r="A35" s="271"/>
      <c r="B35" s="250"/>
      <c r="C35" s="131"/>
      <c r="D35" s="459"/>
      <c r="E35" s="321"/>
      <c r="F35" s="322"/>
      <c r="G35" s="322"/>
      <c r="H35" s="323"/>
      <c r="I35" s="459"/>
      <c r="J35" s="460"/>
      <c r="K35" s="460"/>
    </row>
    <row r="36" spans="1:11" ht="24.95" customHeight="1">
      <c r="A36" s="114"/>
      <c r="B36" s="115"/>
      <c r="C36" s="319"/>
      <c r="D36" s="330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4.95" customHeight="1">
      <c r="A37" s="114"/>
      <c r="B37" s="273"/>
      <c r="C37" s="273"/>
      <c r="D37" s="331"/>
      <c r="E37" s="455"/>
      <c r="F37" s="455"/>
      <c r="G37" s="456"/>
      <c r="H37" s="456"/>
      <c r="I37" s="453"/>
      <c r="J37" s="454"/>
      <c r="K37" s="456"/>
    </row>
    <row r="38" spans="1:11" ht="15" customHeight="1">
      <c r="A38" s="500" t="s">
        <v>155</v>
      </c>
      <c r="B38" s="500"/>
      <c r="C38" s="332" t="s">
        <v>180</v>
      </c>
      <c r="D38" s="310"/>
      <c r="E38" s="199" t="s">
        <v>247</v>
      </c>
      <c r="F38" s="199" t="s">
        <v>248</v>
      </c>
      <c r="G38" s="451"/>
      <c r="H38" s="451"/>
      <c r="I38" s="201" t="s">
        <v>247</v>
      </c>
      <c r="J38" s="199" t="s">
        <v>248</v>
      </c>
      <c r="K38" s="451"/>
    </row>
    <row r="39" spans="1:11" ht="11.1" customHeight="1">
      <c r="A39" s="418" t="str">
        <f>'3.1'!D5</f>
        <v>Leden</v>
      </c>
      <c r="B39" s="418"/>
      <c r="C39" s="145" t="s">
        <v>4</v>
      </c>
      <c r="D39" s="279">
        <v>114</v>
      </c>
      <c r="E39" s="275">
        <v>22589.810398705002</v>
      </c>
      <c r="F39" s="275">
        <v>247587.37586</v>
      </c>
      <c r="G39" s="276">
        <f>E39/$E$44</f>
        <v>0.18051140661036991</v>
      </c>
      <c r="H39" s="276">
        <f>(E39-I39)/I39</f>
        <v>0.19867288803500496</v>
      </c>
      <c r="I39" s="279">
        <v>18845.683942795</v>
      </c>
      <c r="J39" s="275">
        <v>205470.94365999999</v>
      </c>
      <c r="K39" s="276">
        <f>I39/$I$44</f>
        <v>0.17631881167778055</v>
      </c>
    </row>
    <row r="40" spans="1:11" ht="11.1" customHeight="1">
      <c r="A40" s="412"/>
      <c r="B40" s="412"/>
      <c r="C40" s="135" t="s">
        <v>5</v>
      </c>
      <c r="D40" s="280">
        <v>1237</v>
      </c>
      <c r="E40" s="113">
        <v>24674.981428645999</v>
      </c>
      <c r="F40" s="113">
        <v>270441.13224000001</v>
      </c>
      <c r="G40" s="274">
        <f t="shared" ref="G40" si="9">E40/$E$44</f>
        <v>0.19717366047591897</v>
      </c>
      <c r="H40" s="274">
        <f>(E40-I40)/I40</f>
        <v>0.15311015166204051</v>
      </c>
      <c r="I40" s="280">
        <v>21398.633420302998</v>
      </c>
      <c r="J40" s="113">
        <v>233305.27113000001</v>
      </c>
      <c r="K40" s="274">
        <f t="shared" ref="K40:K43" si="10">I40/$I$44</f>
        <v>0.20020401634925727</v>
      </c>
    </row>
    <row r="41" spans="1:11" ht="11.1" customHeight="1">
      <c r="A41" s="412"/>
      <c r="B41" s="412"/>
      <c r="C41" s="135" t="s">
        <v>6</v>
      </c>
      <c r="D41" s="280">
        <v>35084</v>
      </c>
      <c r="E41" s="113">
        <v>36633.778395907</v>
      </c>
      <c r="F41" s="113">
        <v>401511.16369703203</v>
      </c>
      <c r="G41" s="274">
        <f>E41/$E$44</f>
        <v>0.29273441215234119</v>
      </c>
      <c r="H41" s="274">
        <f t="shared" ref="H41:H43" si="11">(E41-I41)/I41</f>
        <v>0.17301635774102442</v>
      </c>
      <c r="I41" s="280">
        <v>31230.407107413001</v>
      </c>
      <c r="J41" s="113">
        <v>340499.24846052699</v>
      </c>
      <c r="K41" s="274">
        <f t="shared" si="10"/>
        <v>0.29218935678360436</v>
      </c>
    </row>
    <row r="42" spans="1:11" ht="11.1" customHeight="1">
      <c r="A42" s="412"/>
      <c r="B42" s="412"/>
      <c r="C42" s="135" t="s">
        <v>7</v>
      </c>
      <c r="D42" s="280">
        <v>332188</v>
      </c>
      <c r="E42" s="113">
        <v>40405.174058379002</v>
      </c>
      <c r="F42" s="113">
        <v>442846.17000832199</v>
      </c>
      <c r="G42" s="274">
        <f>E42/$E$44</f>
        <v>0.32287100577138705</v>
      </c>
      <c r="H42" s="274">
        <f t="shared" si="11"/>
        <v>0.17094627635930329</v>
      </c>
      <c r="I42" s="280">
        <v>34506.428581852997</v>
      </c>
      <c r="J42" s="113">
        <v>376217.09376913297</v>
      </c>
      <c r="K42" s="274">
        <f t="shared" si="10"/>
        <v>0.32283956906337602</v>
      </c>
    </row>
    <row r="43" spans="1:11" ht="11.1" customHeight="1">
      <c r="A43" s="412"/>
      <c r="B43" s="412"/>
      <c r="C43" s="135" t="s">
        <v>90</v>
      </c>
      <c r="D43" s="280">
        <v>31</v>
      </c>
      <c r="E43" s="113">
        <v>839.65148982599999</v>
      </c>
      <c r="F43" s="113">
        <v>9202.6938399999999</v>
      </c>
      <c r="G43" s="274">
        <f>E43/$E$44</f>
        <v>6.7095149899829513E-3</v>
      </c>
      <c r="H43" s="274">
        <f t="shared" si="11"/>
        <v>-7.0136390304411683E-2</v>
      </c>
      <c r="I43" s="280">
        <v>902.98349249399996</v>
      </c>
      <c r="J43" s="113">
        <v>9845.0589999999993</v>
      </c>
      <c r="K43" s="274">
        <f t="shared" si="10"/>
        <v>8.4482461259817402E-3</v>
      </c>
    </row>
    <row r="44" spans="1:11" ht="11.1" customHeight="1">
      <c r="A44" s="417"/>
      <c r="B44" s="417"/>
      <c r="C44" s="285" t="s">
        <v>0</v>
      </c>
      <c r="D44" s="288">
        <v>368654</v>
      </c>
      <c r="E44" s="286">
        <v>125143.39577146299</v>
      </c>
      <c r="F44" s="286">
        <v>1371588.5356453541</v>
      </c>
      <c r="G44" s="287">
        <f>SUM(G39:G43)</f>
        <v>1</v>
      </c>
      <c r="H44" s="287">
        <f>(E44-I44)/I44</f>
        <v>0.17083226582404767</v>
      </c>
      <c r="I44" s="288">
        <v>106884.136544858</v>
      </c>
      <c r="J44" s="286">
        <v>1165337.6160196597</v>
      </c>
      <c r="K44" s="287">
        <f>SUM(K39:K43)</f>
        <v>0.99999999999999989</v>
      </c>
    </row>
    <row r="45" spans="1:11" ht="11.1" customHeight="1">
      <c r="A45" s="418" t="str">
        <f>'3.1'!E5</f>
        <v>Únor</v>
      </c>
      <c r="B45" s="418"/>
      <c r="C45" s="145" t="s">
        <v>4</v>
      </c>
      <c r="D45" s="279">
        <v>114</v>
      </c>
      <c r="E45" s="275">
        <v>15908.733437277</v>
      </c>
      <c r="F45" s="275">
        <v>173730.26048999999</v>
      </c>
      <c r="G45" s="276">
        <f>E45/$E$50</f>
        <v>0.17873485397404446</v>
      </c>
      <c r="H45" s="276">
        <f>(E45-I45)/I45</f>
        <v>-8.9490457865441062E-2</v>
      </c>
      <c r="I45" s="279">
        <v>17472.341256283002</v>
      </c>
      <c r="J45" s="275">
        <v>190247.47527</v>
      </c>
      <c r="K45" s="276">
        <f>I45/$I$50</f>
        <v>0.17819073678167219</v>
      </c>
    </row>
    <row r="46" spans="1:11" ht="11.1" customHeight="1">
      <c r="A46" s="412"/>
      <c r="B46" s="412"/>
      <c r="C46" s="135" t="s">
        <v>5</v>
      </c>
      <c r="D46" s="280">
        <v>1236</v>
      </c>
      <c r="E46" s="113">
        <v>17597.401107780999</v>
      </c>
      <c r="F46" s="113">
        <v>192171.24295000001</v>
      </c>
      <c r="G46" s="274">
        <f t="shared" ref="G46:G49" si="12">E46/$E$50</f>
        <v>0.19770706007003666</v>
      </c>
      <c r="H46" s="274">
        <f>(E46-I46)/I46</f>
        <v>-0.10987494597112617</v>
      </c>
      <c r="I46" s="280">
        <v>19769.582968293998</v>
      </c>
      <c r="J46" s="113">
        <v>215260.97686</v>
      </c>
      <c r="K46" s="274">
        <f t="shared" ref="K46:K49" si="13">I46/$I$50</f>
        <v>0.2016190333805398</v>
      </c>
    </row>
    <row r="47" spans="1:11" ht="11.1" customHeight="1">
      <c r="A47" s="412"/>
      <c r="B47" s="412"/>
      <c r="C47" s="135" t="s">
        <v>6</v>
      </c>
      <c r="D47" s="280">
        <v>35031</v>
      </c>
      <c r="E47" s="113">
        <v>25887.695959295001</v>
      </c>
      <c r="F47" s="113">
        <v>282704.85392355197</v>
      </c>
      <c r="G47" s="274">
        <f t="shared" si="12"/>
        <v>0.29084864456695764</v>
      </c>
      <c r="H47" s="274">
        <f t="shared" ref="H47:H49" si="14">(E47-I47)/I47</f>
        <v>-9.2948997288218316E-2</v>
      </c>
      <c r="I47" s="280">
        <v>28540.507514902001</v>
      </c>
      <c r="J47" s="113">
        <v>310763.13231245102</v>
      </c>
      <c r="K47" s="274">
        <f t="shared" si="13"/>
        <v>0.2910688377480295</v>
      </c>
    </row>
    <row r="48" spans="1:11" ht="11.1" customHeight="1">
      <c r="A48" s="412"/>
      <c r="B48" s="412"/>
      <c r="C48" s="135" t="s">
        <v>7</v>
      </c>
      <c r="D48" s="280">
        <v>331855</v>
      </c>
      <c r="E48" s="113">
        <v>28866.235641501</v>
      </c>
      <c r="F48" s="113">
        <v>315231.79749888898</v>
      </c>
      <c r="G48" s="274">
        <f t="shared" si="12"/>
        <v>0.32431258167131255</v>
      </c>
      <c r="H48" s="274">
        <f t="shared" si="14"/>
        <v>-8.1295572189153453E-2</v>
      </c>
      <c r="I48" s="280">
        <v>31420.590526906999</v>
      </c>
      <c r="J48" s="113">
        <v>342122.89764469903</v>
      </c>
      <c r="K48" s="274">
        <f t="shared" si="13"/>
        <v>0.32044121013784882</v>
      </c>
    </row>
    <row r="49" spans="1:11" ht="11.1" customHeight="1">
      <c r="A49" s="412"/>
      <c r="B49" s="412"/>
      <c r="C49" s="135" t="s">
        <v>90</v>
      </c>
      <c r="D49" s="280">
        <v>31</v>
      </c>
      <c r="E49" s="113">
        <v>747.383064848</v>
      </c>
      <c r="F49" s="113">
        <v>8161.7468200000003</v>
      </c>
      <c r="G49" s="274">
        <f t="shared" si="12"/>
        <v>8.3968597176486293E-3</v>
      </c>
      <c r="H49" s="274">
        <f t="shared" si="14"/>
        <v>-0.12189096818548271</v>
      </c>
      <c r="I49" s="280">
        <v>851.12786427399999</v>
      </c>
      <c r="J49" s="113">
        <v>9267.5002700000005</v>
      </c>
      <c r="K49" s="274">
        <f t="shared" si="13"/>
        <v>8.6801819519097094E-3</v>
      </c>
    </row>
    <row r="50" spans="1:11" ht="11.1" customHeight="1">
      <c r="A50" s="417"/>
      <c r="B50" s="417"/>
      <c r="C50" s="285" t="s">
        <v>0</v>
      </c>
      <c r="D50" s="288">
        <v>368267</v>
      </c>
      <c r="E50" s="286">
        <v>89007.449210702005</v>
      </c>
      <c r="F50" s="286">
        <v>971999.90168244089</v>
      </c>
      <c r="G50" s="287">
        <f>SUM(G45:G49)</f>
        <v>0.99999999999999989</v>
      </c>
      <c r="H50" s="287">
        <f t="shared" ref="H50" si="15">(E50-I50)/I50</f>
        <v>-9.2262294945221604E-2</v>
      </c>
      <c r="I50" s="288">
        <v>98054.150130659997</v>
      </c>
      <c r="J50" s="286">
        <v>1067661.9823571499</v>
      </c>
      <c r="K50" s="287">
        <f>SUM(K45:K49)</f>
        <v>0.99999999999999989</v>
      </c>
    </row>
    <row r="51" spans="1:11" ht="11.1" customHeight="1">
      <c r="A51" s="418" t="str">
        <f>'3.1'!F5</f>
        <v>Březen</v>
      </c>
      <c r="B51" s="418"/>
      <c r="C51" s="145" t="s">
        <v>4</v>
      </c>
      <c r="D51" s="279">
        <v>115</v>
      </c>
      <c r="E51" s="275">
        <v>13317.319372829999</v>
      </c>
      <c r="F51" s="275">
        <v>146426.94743999999</v>
      </c>
      <c r="G51" s="276">
        <f>E51/$E$56</f>
        <v>0.18973400123818004</v>
      </c>
      <c r="H51" s="276">
        <f>(E51-I51)/I51</f>
        <v>-3.1891390660068811E-2</v>
      </c>
      <c r="I51" s="279">
        <v>13756.017914054</v>
      </c>
      <c r="J51" s="275">
        <v>150524.93783000001</v>
      </c>
      <c r="K51" s="276">
        <f>I51/$I$56</f>
        <v>0.1905389349420695</v>
      </c>
    </row>
    <row r="52" spans="1:11" ht="11.1" customHeight="1">
      <c r="A52" s="412"/>
      <c r="B52" s="412"/>
      <c r="C52" s="135" t="s">
        <v>5</v>
      </c>
      <c r="D52" s="280">
        <v>1185</v>
      </c>
      <c r="E52" s="113">
        <v>13832.830320546</v>
      </c>
      <c r="F52" s="113">
        <v>152095.10725</v>
      </c>
      <c r="G52" s="274">
        <f t="shared" ref="G52:G55" si="16">E52/$E$56</f>
        <v>0.19707856901897494</v>
      </c>
      <c r="H52" s="274">
        <f t="shared" ref="H52:H55" si="17">(E52-I52)/I52</f>
        <v>-3.7926699309223953E-2</v>
      </c>
      <c r="I52" s="280">
        <v>14378.145938166999</v>
      </c>
      <c r="J52" s="113">
        <v>157332.5607</v>
      </c>
      <c r="K52" s="274">
        <f t="shared" ref="K52:K55" si="18">I52/$I$56</f>
        <v>0.19915622606895858</v>
      </c>
    </row>
    <row r="53" spans="1:11" ht="11.1" customHeight="1">
      <c r="A53" s="412"/>
      <c r="B53" s="412"/>
      <c r="C53" s="135" t="s">
        <v>6</v>
      </c>
      <c r="D53" s="280">
        <v>35063</v>
      </c>
      <c r="E53" s="113">
        <v>19891.276060919001</v>
      </c>
      <c r="F53" s="113">
        <v>218709.09247914999</v>
      </c>
      <c r="G53" s="274">
        <f t="shared" si="16"/>
        <v>0.28339422455176738</v>
      </c>
      <c r="H53" s="274">
        <f t="shared" si="17"/>
        <v>-2.386270498423897E-2</v>
      </c>
      <c r="I53" s="280">
        <v>20377.539268795001</v>
      </c>
      <c r="J53" s="113">
        <v>222980.79653050599</v>
      </c>
      <c r="K53" s="274">
        <f t="shared" si="18"/>
        <v>0.28225571188371129</v>
      </c>
    </row>
    <row r="54" spans="1:11" ht="11.1" customHeight="1">
      <c r="A54" s="412"/>
      <c r="B54" s="412"/>
      <c r="C54" s="135" t="s">
        <v>7</v>
      </c>
      <c r="D54" s="280">
        <v>331479</v>
      </c>
      <c r="E54" s="113">
        <v>22334.639989682</v>
      </c>
      <c r="F54" s="113">
        <v>245574.433134994</v>
      </c>
      <c r="G54" s="274">
        <f t="shared" si="16"/>
        <v>0.3182052253024934</v>
      </c>
      <c r="H54" s="274">
        <f t="shared" si="17"/>
        <v>-1.8942671667060845E-2</v>
      </c>
      <c r="I54" s="280">
        <v>22765.886706778001</v>
      </c>
      <c r="J54" s="113">
        <v>249115.23833372601</v>
      </c>
      <c r="K54" s="274">
        <f t="shared" si="18"/>
        <v>0.31533746417192038</v>
      </c>
    </row>
    <row r="55" spans="1:11" ht="11.1" customHeight="1">
      <c r="A55" s="412"/>
      <c r="B55" s="412"/>
      <c r="C55" s="135" t="s">
        <v>90</v>
      </c>
      <c r="D55" s="280">
        <v>31</v>
      </c>
      <c r="E55" s="113">
        <v>813.35357951200001</v>
      </c>
      <c r="F55" s="113">
        <v>8943.0071100000005</v>
      </c>
      <c r="G55" s="274">
        <f t="shared" si="16"/>
        <v>1.1587979888584289E-2</v>
      </c>
      <c r="H55" s="274">
        <f t="shared" si="17"/>
        <v>-0.11372598868899886</v>
      </c>
      <c r="I55" s="280">
        <v>917.72247536500004</v>
      </c>
      <c r="J55" s="113">
        <v>10042.158960000001</v>
      </c>
      <c r="K55" s="274">
        <f t="shared" si="18"/>
        <v>1.2711662933340397E-2</v>
      </c>
    </row>
    <row r="56" spans="1:11" ht="11.1" customHeight="1">
      <c r="A56" s="417"/>
      <c r="B56" s="417"/>
      <c r="C56" s="285" t="s">
        <v>0</v>
      </c>
      <c r="D56" s="288">
        <v>367873</v>
      </c>
      <c r="E56" s="286">
        <v>70189.419323488997</v>
      </c>
      <c r="F56" s="286">
        <v>771748.58741414396</v>
      </c>
      <c r="G56" s="287">
        <f>SUM(G51:G55)</f>
        <v>1</v>
      </c>
      <c r="H56" s="287">
        <f t="shared" ref="H56" si="19">(E56-I56)/I56</f>
        <v>-2.7784255177773165E-2</v>
      </c>
      <c r="I56" s="288">
        <v>72195.312303158993</v>
      </c>
      <c r="J56" s="286">
        <v>789995.69235423196</v>
      </c>
      <c r="K56" s="287">
        <f>SUM(K51:K55)</f>
        <v>1.0000000000000002</v>
      </c>
    </row>
    <row r="57" spans="1:11" ht="11.1" customHeight="1">
      <c r="A57" s="476" t="str">
        <f>'3.1'!G5</f>
        <v>I. čtvrtletí</v>
      </c>
      <c r="B57" s="418"/>
      <c r="C57" s="145" t="s">
        <v>4</v>
      </c>
      <c r="D57" s="279">
        <f>D51</f>
        <v>115</v>
      </c>
      <c r="E57" s="275">
        <f>E39+E45+E51</f>
        <v>51815.863208812007</v>
      </c>
      <c r="F57" s="275">
        <f>F39+F45+F51</f>
        <v>567744.58378999995</v>
      </c>
      <c r="G57" s="276">
        <f>E57/$E$62</f>
        <v>0.18223188803507653</v>
      </c>
      <c r="H57" s="276">
        <f>(E57-I57)/I57</f>
        <v>3.4784890282271039E-2</v>
      </c>
      <c r="I57" s="279">
        <f>I39+I45+I51</f>
        <v>50074.043113132</v>
      </c>
      <c r="J57" s="275">
        <f>J39+J45+J51</f>
        <v>546243.35676</v>
      </c>
      <c r="K57" s="276">
        <f>I57/$I$62</f>
        <v>0.18068557294269025</v>
      </c>
    </row>
    <row r="58" spans="1:11" ht="11.1" customHeight="1">
      <c r="A58" s="412"/>
      <c r="B58" s="412"/>
      <c r="C58" s="135" t="s">
        <v>5</v>
      </c>
      <c r="D58" s="280">
        <f>D52</f>
        <v>1185</v>
      </c>
      <c r="E58" s="113">
        <f t="shared" ref="E58:F59" si="20">E40+E46+E52</f>
        <v>56105.212856972998</v>
      </c>
      <c r="F58" s="113">
        <f t="shared" si="20"/>
        <v>614707.48244000005</v>
      </c>
      <c r="G58" s="274">
        <f t="shared" ref="G58:G61" si="21">E58/$E$62</f>
        <v>0.19731715799723046</v>
      </c>
      <c r="H58" s="274">
        <f t="shared" ref="H58:H61" si="22">(E58-I58)/I58</f>
        <v>1.0060974414876011E-2</v>
      </c>
      <c r="I58" s="280">
        <f t="shared" ref="I58:J58" si="23">I40+I46+I52</f>
        <v>55546.362326763992</v>
      </c>
      <c r="J58" s="113">
        <f t="shared" si="23"/>
        <v>605898.80868999998</v>
      </c>
      <c r="K58" s="274">
        <f t="shared" ref="K58:K61" si="24">I58/$I$62</f>
        <v>0.20043171427596482</v>
      </c>
    </row>
    <row r="59" spans="1:11" ht="11.1" customHeight="1">
      <c r="A59" s="412"/>
      <c r="B59" s="412"/>
      <c r="C59" s="135" t="s">
        <v>6</v>
      </c>
      <c r="D59" s="280">
        <f>D53</f>
        <v>35063</v>
      </c>
      <c r="E59" s="113">
        <f>E41+E47+E53</f>
        <v>82412.750416121009</v>
      </c>
      <c r="F59" s="113">
        <f t="shared" si="20"/>
        <v>902925.11009973404</v>
      </c>
      <c r="G59" s="274">
        <f t="shared" si="21"/>
        <v>0.28983848143128516</v>
      </c>
      <c r="H59" s="274">
        <f t="shared" si="22"/>
        <v>2.8251281404470956E-2</v>
      </c>
      <c r="I59" s="280">
        <f>I41+I47+I53</f>
        <v>80148.453891109995</v>
      </c>
      <c r="J59" s="113">
        <f t="shared" ref="J59" si="25">J41+J47+J53</f>
        <v>874243.17730348406</v>
      </c>
      <c r="K59" s="274">
        <f t="shared" si="24"/>
        <v>0.28920511329727555</v>
      </c>
    </row>
    <row r="60" spans="1:11" ht="11.1" customHeight="1">
      <c r="A60" s="412"/>
      <c r="B60" s="412"/>
      <c r="C60" s="135" t="s">
        <v>7</v>
      </c>
      <c r="D60" s="280">
        <f>D54</f>
        <v>331479</v>
      </c>
      <c r="E60" s="113">
        <f t="shared" ref="E60:F61" si="26">E42+E48+E54</f>
        <v>91606.049689562002</v>
      </c>
      <c r="F60" s="113">
        <f t="shared" si="26"/>
        <v>1003652.400642205</v>
      </c>
      <c r="G60" s="274">
        <f t="shared" si="21"/>
        <v>0.32217051606553093</v>
      </c>
      <c r="H60" s="274">
        <f t="shared" si="22"/>
        <v>3.284528618424927E-2</v>
      </c>
      <c r="I60" s="280">
        <f t="shared" ref="I60:J60" si="27">I42+I48+I54</f>
        <v>88692.90581553799</v>
      </c>
      <c r="J60" s="113">
        <f t="shared" si="27"/>
        <v>967455.22974755801</v>
      </c>
      <c r="K60" s="274">
        <f t="shared" si="24"/>
        <v>0.32003663988198755</v>
      </c>
    </row>
    <row r="61" spans="1:11" ht="11.1" customHeight="1">
      <c r="A61" s="412"/>
      <c r="B61" s="412"/>
      <c r="C61" s="135" t="s">
        <v>90</v>
      </c>
      <c r="D61" s="280">
        <f>D55</f>
        <v>31</v>
      </c>
      <c r="E61" s="113">
        <f>E43+E49+E55</f>
        <v>2400.3881341860001</v>
      </c>
      <c r="F61" s="113">
        <f t="shared" si="26"/>
        <v>26307.447769999999</v>
      </c>
      <c r="G61" s="274">
        <f t="shared" si="21"/>
        <v>8.4419564708770288E-3</v>
      </c>
      <c r="H61" s="274">
        <f t="shared" si="22"/>
        <v>-0.10159527687779046</v>
      </c>
      <c r="I61" s="280">
        <f>I43+I49+I55</f>
        <v>2671.8338321330002</v>
      </c>
      <c r="J61" s="113">
        <f t="shared" ref="J61" si="28">J43+J49+J55</f>
        <v>29154.718229999999</v>
      </c>
      <c r="K61" s="274">
        <f t="shared" si="24"/>
        <v>9.6409596020819357E-3</v>
      </c>
    </row>
    <row r="62" spans="1:11" ht="11.1" customHeight="1">
      <c r="A62" s="417"/>
      <c r="B62" s="417"/>
      <c r="C62" s="285" t="s">
        <v>0</v>
      </c>
      <c r="D62" s="288">
        <f>SUM(D57:D61)</f>
        <v>367873</v>
      </c>
      <c r="E62" s="286">
        <f>SUM(E57:E61)</f>
        <v>284340.26430565398</v>
      </c>
      <c r="F62" s="286">
        <f>SUM(F57:F61)</f>
        <v>3115337.0247419388</v>
      </c>
      <c r="G62" s="287">
        <f>SUM(G57:G61)</f>
        <v>1</v>
      </c>
      <c r="H62" s="287">
        <f>(E62-I62)/I62</f>
        <v>2.6004300285262499E-2</v>
      </c>
      <c r="I62" s="288">
        <f>SUM(I57:I61)</f>
        <v>277133.59897867695</v>
      </c>
      <c r="J62" s="286">
        <f>SUM(J57:J61)</f>
        <v>3022995.2907310417</v>
      </c>
      <c r="K62" s="287">
        <f>SUM(K57:K61)</f>
        <v>1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20"/>
  <sheetViews>
    <sheetView showGridLines="0" topLeftCell="A18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16" s="91" customFormat="1" ht="18">
      <c r="A1" s="485" t="s">
        <v>292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502"/>
      <c r="B3" s="502"/>
      <c r="C3" s="502"/>
      <c r="D3" s="267"/>
      <c r="E3" s="267"/>
      <c r="F3" s="268"/>
      <c r="G3" s="269"/>
      <c r="H3" s="269"/>
      <c r="I3" s="269"/>
    </row>
    <row r="4" spans="1:16" ht="12.95" customHeight="1">
      <c r="A4" s="463" t="s">
        <v>43</v>
      </c>
      <c r="B4" s="463"/>
      <c r="C4" s="463"/>
      <c r="D4" s="457">
        <f>'3.1'!A4</f>
        <v>2026</v>
      </c>
      <c r="E4" s="320"/>
      <c r="F4" s="309"/>
      <c r="G4" s="309"/>
      <c r="H4" s="309"/>
      <c r="I4" s="457">
        <f>D4-1</f>
        <v>2025</v>
      </c>
      <c r="J4" s="458"/>
      <c r="K4" s="458"/>
    </row>
    <row r="5" spans="1:16" ht="24.95" customHeight="1">
      <c r="A5" s="131"/>
      <c r="B5" s="131"/>
      <c r="C5" s="131"/>
      <c r="D5" s="459"/>
      <c r="E5" s="321"/>
      <c r="F5" s="322"/>
      <c r="G5" s="322"/>
      <c r="H5" s="323"/>
      <c r="I5" s="459"/>
      <c r="J5" s="460"/>
      <c r="K5" s="460"/>
    </row>
    <row r="6" spans="1:16" ht="24.95" customHeight="1">
      <c r="A6" s="271"/>
      <c r="B6" s="250"/>
      <c r="C6" s="272"/>
      <c r="D6" s="330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4.95" customHeight="1">
      <c r="A7" s="271"/>
      <c r="B7" s="273"/>
      <c r="D7" s="331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0" t="s">
        <v>180</v>
      </c>
      <c r="D8" s="310"/>
      <c r="E8" s="199" t="s">
        <v>247</v>
      </c>
      <c r="F8" s="199" t="s">
        <v>248</v>
      </c>
      <c r="G8" s="451"/>
      <c r="H8" s="451"/>
      <c r="I8" s="201" t="s">
        <v>247</v>
      </c>
      <c r="J8" s="199" t="s">
        <v>248</v>
      </c>
      <c r="K8" s="451"/>
    </row>
    <row r="9" spans="1:16" ht="11.1" customHeight="1">
      <c r="A9" s="418" t="str">
        <f>'3.1'!D5</f>
        <v>Leden</v>
      </c>
      <c r="B9" s="418"/>
      <c r="C9" s="145" t="s">
        <v>4</v>
      </c>
      <c r="D9" s="279">
        <v>186</v>
      </c>
      <c r="E9" s="275">
        <v>61868.854282560998</v>
      </c>
      <c r="F9" s="275">
        <v>677229.789154</v>
      </c>
      <c r="G9" s="276">
        <f>E9/$E$14</f>
        <v>0.39237236645312329</v>
      </c>
      <c r="H9" s="276">
        <f>(E9-I9)/I9</f>
        <v>6.9573664503427196E-2</v>
      </c>
      <c r="I9" s="279">
        <v>57844.406921971997</v>
      </c>
      <c r="J9" s="275">
        <v>628726.75171099999</v>
      </c>
      <c r="K9" s="276">
        <f>I9/$I$14</f>
        <v>0.42131094088725568</v>
      </c>
    </row>
    <row r="10" spans="1:16" ht="11.1" customHeight="1">
      <c r="A10" s="412"/>
      <c r="B10" s="412"/>
      <c r="C10" s="135" t="s">
        <v>5</v>
      </c>
      <c r="D10" s="280">
        <v>655</v>
      </c>
      <c r="E10" s="113">
        <v>13867.401614119</v>
      </c>
      <c r="F10" s="113">
        <v>151813.28015000001</v>
      </c>
      <c r="G10" s="274">
        <f>E10/$E$14</f>
        <v>8.7947081790739456E-2</v>
      </c>
      <c r="H10" s="274">
        <f>(E10-I10)/I10</f>
        <v>0.17547541598365904</v>
      </c>
      <c r="I10" s="280">
        <v>11797.270640930001</v>
      </c>
      <c r="J10" s="113">
        <v>128267.23042000001</v>
      </c>
      <c r="K10" s="274">
        <f>I10/$I$14</f>
        <v>8.5925666077559151E-2</v>
      </c>
      <c r="L10" s="68"/>
      <c r="N10" s="68"/>
      <c r="O10" s="68"/>
      <c r="P10" s="68"/>
    </row>
    <row r="11" spans="1:16" ht="11.1" customHeight="1">
      <c r="A11" s="412"/>
      <c r="B11" s="412"/>
      <c r="C11" s="135" t="s">
        <v>6</v>
      </c>
      <c r="D11" s="280">
        <v>20742</v>
      </c>
      <c r="E11" s="113">
        <v>24286.485075799999</v>
      </c>
      <c r="F11" s="113">
        <v>265871.95645887498</v>
      </c>
      <c r="G11" s="274">
        <f>E11/$E$14</f>
        <v>0.15402492469795334</v>
      </c>
      <c r="H11" s="274">
        <f t="shared" ref="H11:H13" si="0">(E11-I11)/I11</f>
        <v>0.21010829025359512</v>
      </c>
      <c r="I11" s="280">
        <v>20069.679111702</v>
      </c>
      <c r="J11" s="113">
        <v>218198.01120203399</v>
      </c>
      <c r="K11" s="274">
        <f>I11/$I$14</f>
        <v>0.1461779252272816</v>
      </c>
      <c r="L11" s="68"/>
      <c r="N11" s="68"/>
      <c r="O11" s="68"/>
      <c r="P11" s="68"/>
    </row>
    <row r="12" spans="1:16" ht="11.1" customHeight="1">
      <c r="A12" s="412"/>
      <c r="B12" s="412"/>
      <c r="C12" s="135" t="s">
        <v>7</v>
      </c>
      <c r="D12" s="280">
        <v>258502</v>
      </c>
      <c r="E12" s="113">
        <v>56475.277758251999</v>
      </c>
      <c r="F12" s="113">
        <v>618248.16206182598</v>
      </c>
      <c r="G12" s="274">
        <f>E12/$E$14</f>
        <v>0.35816629606391204</v>
      </c>
      <c r="H12" s="274">
        <f t="shared" si="0"/>
        <v>0.2172687835301676</v>
      </c>
      <c r="I12" s="280">
        <v>46395.076027884003</v>
      </c>
      <c r="J12" s="113">
        <v>504393.32061135495</v>
      </c>
      <c r="K12" s="274">
        <f>I12/$I$14</f>
        <v>0.3379195011924101</v>
      </c>
      <c r="L12" s="68"/>
      <c r="N12" s="68"/>
      <c r="O12" s="68"/>
      <c r="P12" s="68"/>
    </row>
    <row r="13" spans="1:16" ht="11.1" customHeight="1">
      <c r="A13" s="412"/>
      <c r="B13" s="412"/>
      <c r="C13" s="135" t="s">
        <v>90</v>
      </c>
      <c r="D13" s="280">
        <v>44</v>
      </c>
      <c r="E13" s="113">
        <v>1180.9096857330001</v>
      </c>
      <c r="F13" s="113">
        <v>12929.45255</v>
      </c>
      <c r="G13" s="274">
        <f>E13/$E$14</f>
        <v>7.489330994271827E-3</v>
      </c>
      <c r="H13" s="274">
        <f t="shared" si="0"/>
        <v>-7.4759529202617072E-3</v>
      </c>
      <c r="I13" s="280">
        <v>1189.8046089740001</v>
      </c>
      <c r="J13" s="113">
        <v>12939.418420000002</v>
      </c>
      <c r="K13" s="274">
        <f>I13/$I$14</f>
        <v>8.6659666154934815E-3</v>
      </c>
      <c r="L13" s="68"/>
      <c r="N13" s="68"/>
      <c r="O13" s="68"/>
      <c r="P13" s="68"/>
    </row>
    <row r="14" spans="1:16" ht="11.1" customHeight="1">
      <c r="A14" s="417"/>
      <c r="B14" s="417"/>
      <c r="C14" s="285" t="s">
        <v>0</v>
      </c>
      <c r="D14" s="288">
        <v>280129</v>
      </c>
      <c r="E14" s="286">
        <v>157678.928416465</v>
      </c>
      <c r="F14" s="286">
        <v>1726092.640374701</v>
      </c>
      <c r="G14" s="287">
        <f>SUM(G9:G13)</f>
        <v>1</v>
      </c>
      <c r="H14" s="287">
        <f>(E14-I14)/I14</f>
        <v>0.14845775459063787</v>
      </c>
      <c r="I14" s="288">
        <v>137296.237311462</v>
      </c>
      <c r="J14" s="286">
        <v>1492524.7323643889</v>
      </c>
      <c r="K14" s="287">
        <f>SUM(K9:K13)</f>
        <v>1</v>
      </c>
      <c r="L14" s="68"/>
    </row>
    <row r="15" spans="1:16" ht="11.1" customHeight="1">
      <c r="A15" s="418" t="str">
        <f>'3.1'!E5</f>
        <v>Únor</v>
      </c>
      <c r="B15" s="418"/>
      <c r="C15" s="145" t="s">
        <v>4</v>
      </c>
      <c r="D15" s="279">
        <v>182</v>
      </c>
      <c r="E15" s="275">
        <v>46373.633642059009</v>
      </c>
      <c r="F15" s="275">
        <v>505842.74248300004</v>
      </c>
      <c r="G15" s="276">
        <f>E15/$E$20</f>
        <v>0.40001392727780599</v>
      </c>
      <c r="H15" s="276">
        <f>(E15-I15)/I15</f>
        <v>-0.12771978687705224</v>
      </c>
      <c r="I15" s="279">
        <v>53163.688622525995</v>
      </c>
      <c r="J15" s="275">
        <v>576585.12769700005</v>
      </c>
      <c r="K15" s="276">
        <f>I15/$I$20</f>
        <v>0.42164285098505067</v>
      </c>
      <c r="L15" s="68"/>
      <c r="M15" s="68"/>
    </row>
    <row r="16" spans="1:16" ht="11.1" customHeight="1">
      <c r="A16" s="412"/>
      <c r="B16" s="412"/>
      <c r="C16" s="135" t="s">
        <v>5</v>
      </c>
      <c r="D16" s="280">
        <v>659</v>
      </c>
      <c r="E16" s="113">
        <v>10117.988619794001</v>
      </c>
      <c r="F16" s="113">
        <v>110377.15045</v>
      </c>
      <c r="G16" s="274">
        <f>E16/$E$20</f>
        <v>8.7276670946164037E-2</v>
      </c>
      <c r="H16" s="274">
        <f>(E16-I16)/I16</f>
        <v>-9.3186187022481937E-2</v>
      </c>
      <c r="I16" s="280">
        <v>11157.735441381999</v>
      </c>
      <c r="J16" s="113">
        <v>121058.22438</v>
      </c>
      <c r="K16" s="274">
        <f>I16/$I$20</f>
        <v>8.8492343250386699E-2</v>
      </c>
      <c r="L16" s="86"/>
      <c r="M16" s="68"/>
    </row>
    <row r="17" spans="1:20" ht="11.1" customHeight="1">
      <c r="A17" s="412"/>
      <c r="B17" s="412"/>
      <c r="C17" s="135" t="s">
        <v>6</v>
      </c>
      <c r="D17" s="280">
        <v>20730</v>
      </c>
      <c r="E17" s="113">
        <v>18120.494841382999</v>
      </c>
      <c r="F17" s="113">
        <v>197673.43121968</v>
      </c>
      <c r="G17" s="274">
        <f>E17/$E$20</f>
        <v>0.15630542048240073</v>
      </c>
      <c r="H17" s="274">
        <f t="shared" ref="H17:H20" si="1">(E17-I17)/I17</f>
        <v>-4.1935542544408642E-2</v>
      </c>
      <c r="I17" s="280">
        <v>18913.648972541003</v>
      </c>
      <c r="J17" s="113">
        <v>205193.30093375398</v>
      </c>
      <c r="K17" s="274">
        <f>I17/$I$20</f>
        <v>0.15000473221366464</v>
      </c>
      <c r="L17" s="68"/>
      <c r="M17" s="68"/>
      <c r="N17" s="68"/>
      <c r="O17" s="68"/>
    </row>
    <row r="18" spans="1:20" ht="11.1" customHeight="1">
      <c r="A18" s="412"/>
      <c r="B18" s="412"/>
      <c r="C18" s="135" t="s">
        <v>7</v>
      </c>
      <c r="D18" s="280">
        <v>258246</v>
      </c>
      <c r="E18" s="113">
        <v>40257.519714512993</v>
      </c>
      <c r="F18" s="113">
        <v>439161.70491367503</v>
      </c>
      <c r="G18" s="274">
        <f>E18/$E$20</f>
        <v>0.34725699279386979</v>
      </c>
      <c r="H18" s="274">
        <f t="shared" si="1"/>
        <v>-3.5666575620025995E-2</v>
      </c>
      <c r="I18" s="280">
        <v>41746.473467304</v>
      </c>
      <c r="J18" s="113">
        <v>452895.80238790705</v>
      </c>
      <c r="K18" s="274">
        <f>I18/$I$20</f>
        <v>0.33109256613672289</v>
      </c>
      <c r="L18" s="68"/>
      <c r="M18" s="68"/>
      <c r="N18" s="68"/>
      <c r="O18" s="68"/>
    </row>
    <row r="19" spans="1:20" ht="11.1" customHeight="1">
      <c r="A19" s="412"/>
      <c r="B19" s="412"/>
      <c r="C19" s="135" t="s">
        <v>90</v>
      </c>
      <c r="D19" s="280">
        <v>44</v>
      </c>
      <c r="E19" s="113">
        <v>1060.4108124500001</v>
      </c>
      <c r="F19" s="113">
        <v>11569.26382</v>
      </c>
      <c r="G19" s="274">
        <f>E19/$E$20</f>
        <v>9.146988499759489E-3</v>
      </c>
      <c r="H19" s="274">
        <f t="shared" si="1"/>
        <v>-4.0759203441335462E-2</v>
      </c>
      <c r="I19" s="280">
        <v>1105.468841874</v>
      </c>
      <c r="J19" s="113">
        <v>11997.86541</v>
      </c>
      <c r="K19" s="274">
        <f>I19/$I$20</f>
        <v>8.7675074141751446E-3</v>
      </c>
      <c r="L19" s="68"/>
      <c r="M19" s="68"/>
      <c r="N19" s="68"/>
      <c r="O19" s="68"/>
    </row>
    <row r="20" spans="1:20" ht="11.1" customHeight="1">
      <c r="A20" s="417"/>
      <c r="B20" s="417"/>
      <c r="C20" s="285" t="s">
        <v>0</v>
      </c>
      <c r="D20" s="288">
        <v>279861</v>
      </c>
      <c r="E20" s="286">
        <v>115930.047630199</v>
      </c>
      <c r="F20" s="286">
        <v>1264624.292886355</v>
      </c>
      <c r="G20" s="287">
        <f>SUM(G15:G19)</f>
        <v>1</v>
      </c>
      <c r="H20" s="287">
        <f t="shared" si="1"/>
        <v>-8.0555223609551974E-2</v>
      </c>
      <c r="I20" s="288">
        <v>126087.01534562699</v>
      </c>
      <c r="J20" s="286">
        <v>1367730.3208086612</v>
      </c>
      <c r="K20" s="287">
        <f>SUM(K15:K19)</f>
        <v>1</v>
      </c>
      <c r="L20" s="68"/>
      <c r="M20" s="68"/>
      <c r="N20" s="68"/>
      <c r="O20" s="68"/>
    </row>
    <row r="21" spans="1:20" ht="11.1" customHeight="1">
      <c r="A21" s="418" t="str">
        <f>'3.1'!F5</f>
        <v>Březen</v>
      </c>
      <c r="B21" s="418"/>
      <c r="C21" s="145" t="s">
        <v>4</v>
      </c>
      <c r="D21" s="279">
        <v>181</v>
      </c>
      <c r="E21" s="275">
        <v>46962.869289167</v>
      </c>
      <c r="F21" s="275">
        <v>515431.47163099999</v>
      </c>
      <c r="G21" s="276">
        <f>E21/$E$26</f>
        <v>0.47652379150545288</v>
      </c>
      <c r="H21" s="276">
        <f>(E21-I21)/I21</f>
        <v>1.3636683745210827E-2</v>
      </c>
      <c r="I21" s="279">
        <v>46331.067178476005</v>
      </c>
      <c r="J21" s="275">
        <v>505010.90748100006</v>
      </c>
      <c r="K21" s="276">
        <f>I21/$I$26</f>
        <v>0.47530772608584065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" customHeight="1">
      <c r="A22" s="412"/>
      <c r="B22" s="412"/>
      <c r="C22" s="135" t="s">
        <v>5</v>
      </c>
      <c r="D22" s="280">
        <v>630</v>
      </c>
      <c r="E22" s="113">
        <v>8188.5010284279997</v>
      </c>
      <c r="F22" s="113">
        <v>89884.646099999998</v>
      </c>
      <c r="G22" s="274">
        <f>E22/$E$26</f>
        <v>8.3087247774123865E-2</v>
      </c>
      <c r="H22" s="274">
        <f t="shared" ref="H22:H26" si="2">(E22-I22)/I22</f>
        <v>2.1238031561837272E-2</v>
      </c>
      <c r="I22" s="280">
        <v>8018.2100307260007</v>
      </c>
      <c r="J22" s="113">
        <v>87429.702819999991</v>
      </c>
      <c r="K22" s="274">
        <f>I22/$I$26</f>
        <v>8.2258350801675081E-2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" customHeight="1">
      <c r="A23" s="412"/>
      <c r="B23" s="412"/>
      <c r="C23" s="135" t="s">
        <v>6</v>
      </c>
      <c r="D23" s="280">
        <v>20731</v>
      </c>
      <c r="E23" s="113">
        <v>13177.023136321</v>
      </c>
      <c r="F23" s="113">
        <v>144643.6956265</v>
      </c>
      <c r="G23" s="274">
        <f>E23/$E$26</f>
        <v>0.13370488474653702</v>
      </c>
      <c r="H23" s="274">
        <f t="shared" si="2"/>
        <v>-7.7691084256360302E-3</v>
      </c>
      <c r="I23" s="280">
        <v>13280.198437899</v>
      </c>
      <c r="J23" s="113">
        <v>144801.44636016802</v>
      </c>
      <c r="K23" s="274">
        <f>I23/$I$26</f>
        <v>0.13624078411945048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" customHeight="1">
      <c r="A24" s="412"/>
      <c r="B24" s="412"/>
      <c r="C24" s="135" t="s">
        <v>7</v>
      </c>
      <c r="D24" s="280">
        <v>258031</v>
      </c>
      <c r="E24" s="113">
        <v>29056.691837383001</v>
      </c>
      <c r="F24" s="113">
        <v>318950.832129399</v>
      </c>
      <c r="G24" s="274">
        <f>E24/$E$26</f>
        <v>0.29483302814611495</v>
      </c>
      <c r="H24" s="274">
        <f t="shared" si="2"/>
        <v>1.3527823307144639E-2</v>
      </c>
      <c r="I24" s="280">
        <v>28668.864503957</v>
      </c>
      <c r="J24" s="113">
        <v>312587.336895669</v>
      </c>
      <c r="K24" s="274">
        <f>I24/$I$26</f>
        <v>0.29411221512223967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" customHeight="1">
      <c r="A25" s="412"/>
      <c r="B25" s="412"/>
      <c r="C25" s="135" t="s">
        <v>90</v>
      </c>
      <c r="D25" s="280">
        <v>44</v>
      </c>
      <c r="E25" s="113">
        <v>1167.956815581</v>
      </c>
      <c r="F25" s="113">
        <v>12823.096219999999</v>
      </c>
      <c r="G25" s="274">
        <f>E25/$E$26</f>
        <v>1.1851047827771365E-2</v>
      </c>
      <c r="H25" s="274">
        <f t="shared" si="2"/>
        <v>-8.1883443461061751E-3</v>
      </c>
      <c r="I25" s="280">
        <v>1177.5994050109998</v>
      </c>
      <c r="J25" s="113">
        <v>12845.10842</v>
      </c>
      <c r="K25" s="274">
        <f>I25/$I$26</f>
        <v>1.208092387079413E-2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" customHeight="1">
      <c r="A26" s="417"/>
      <c r="B26" s="417"/>
      <c r="C26" s="285" t="s">
        <v>0</v>
      </c>
      <c r="D26" s="288">
        <v>279617</v>
      </c>
      <c r="E26" s="286">
        <v>98553.042106879991</v>
      </c>
      <c r="F26" s="286">
        <v>1081733.7417068989</v>
      </c>
      <c r="G26" s="287">
        <f>SUM(G21:G25)</f>
        <v>1</v>
      </c>
      <c r="H26" s="287">
        <f t="shared" si="2"/>
        <v>1.1049932482994226E-2</v>
      </c>
      <c r="I26" s="288">
        <v>97475.939556069003</v>
      </c>
      <c r="J26" s="286">
        <v>1062674.5019768369</v>
      </c>
      <c r="K26" s="287">
        <f>SUM(K21:K25)</f>
        <v>1</v>
      </c>
    </row>
    <row r="27" spans="1:20" ht="11.1" customHeight="1">
      <c r="A27" s="476" t="str">
        <f>'3.1'!G5</f>
        <v>I. čtvrtletí</v>
      </c>
      <c r="B27" s="418"/>
      <c r="C27" s="145" t="s">
        <v>4</v>
      </c>
      <c r="D27" s="279">
        <f>D21</f>
        <v>181</v>
      </c>
      <c r="E27" s="275">
        <f>E9+E15+E21</f>
        <v>155205.35721378701</v>
      </c>
      <c r="F27" s="275">
        <f>F9+F15+F21</f>
        <v>1698504.003268</v>
      </c>
      <c r="G27" s="276">
        <f>E27/$E$32</f>
        <v>0.41703706891914338</v>
      </c>
      <c r="H27" s="276">
        <f>(E27-I27)/I27</f>
        <v>-1.356182066980976E-2</v>
      </c>
      <c r="I27" s="279">
        <f>I9+I15+I21</f>
        <v>157339.162722974</v>
      </c>
      <c r="J27" s="275">
        <f>J9+J15+J21</f>
        <v>1710322.7868890001</v>
      </c>
      <c r="K27" s="276">
        <f>I27/$I$32</f>
        <v>0.43601262242485544</v>
      </c>
    </row>
    <row r="28" spans="1:20" ht="11.1" customHeight="1">
      <c r="A28" s="412"/>
      <c r="B28" s="412"/>
      <c r="C28" s="135" t="s">
        <v>5</v>
      </c>
      <c r="D28" s="280">
        <f>D22</f>
        <v>630</v>
      </c>
      <c r="E28" s="113">
        <f t="shared" ref="E28:F31" si="3">E10+E16+E22</f>
        <v>32173.891262341</v>
      </c>
      <c r="F28" s="113">
        <f t="shared" si="3"/>
        <v>352075.07670000003</v>
      </c>
      <c r="G28" s="274">
        <f>E28/$E$32</f>
        <v>8.6451302639558775E-2</v>
      </c>
      <c r="H28" s="274">
        <f t="shared" ref="H28:H31" si="4">(E28-I28)/I28</f>
        <v>3.8764949203889142E-2</v>
      </c>
      <c r="I28" s="280">
        <f t="shared" ref="I28:J28" si="5">I10+I16+I22</f>
        <v>30973.216113038001</v>
      </c>
      <c r="J28" s="113">
        <f t="shared" si="5"/>
        <v>336755.15762000001</v>
      </c>
      <c r="K28" s="274">
        <f>I28/$I$32</f>
        <v>8.5831861239500457E-2</v>
      </c>
    </row>
    <row r="29" spans="1:20" ht="11.1" customHeight="1">
      <c r="A29" s="412"/>
      <c r="B29" s="412"/>
      <c r="C29" s="135" t="s">
        <v>6</v>
      </c>
      <c r="D29" s="280">
        <f>D23</f>
        <v>20731</v>
      </c>
      <c r="E29" s="113">
        <f t="shared" si="3"/>
        <v>55584.003053503999</v>
      </c>
      <c r="F29" s="113">
        <f t="shared" si="3"/>
        <v>608189.08330505504</v>
      </c>
      <c r="G29" s="274">
        <f>E29/$E$32</f>
        <v>0.1493543143636209</v>
      </c>
      <c r="H29" s="274">
        <f t="shared" si="4"/>
        <v>6.3533342510961988E-2</v>
      </c>
      <c r="I29" s="280">
        <f t="shared" ref="I29:J29" si="6">I11+I17+I23</f>
        <v>52263.526522142005</v>
      </c>
      <c r="J29" s="113">
        <f t="shared" si="6"/>
        <v>568192.75849595596</v>
      </c>
      <c r="K29" s="274">
        <f>I29/$I$32</f>
        <v>0.14483080284475658</v>
      </c>
    </row>
    <row r="30" spans="1:20" ht="11.1" customHeight="1">
      <c r="A30" s="412"/>
      <c r="B30" s="412"/>
      <c r="C30" s="135" t="s">
        <v>7</v>
      </c>
      <c r="D30" s="280">
        <f>D24</f>
        <v>258031</v>
      </c>
      <c r="E30" s="113">
        <f t="shared" si="3"/>
        <v>125789.489310148</v>
      </c>
      <c r="F30" s="113">
        <f t="shared" si="3"/>
        <v>1376360.6991049</v>
      </c>
      <c r="G30" s="274">
        <f>E30/$E$32</f>
        <v>0.33799657991496235</v>
      </c>
      <c r="H30" s="274">
        <f t="shared" si="4"/>
        <v>7.6868791091423819E-2</v>
      </c>
      <c r="I30" s="280">
        <f t="shared" ref="I30:J30" si="7">I12+I18+I24</f>
        <v>116810.41399914499</v>
      </c>
      <c r="J30" s="113">
        <f t="shared" si="7"/>
        <v>1269876.4598949309</v>
      </c>
      <c r="K30" s="274">
        <f>I30/$I$32</f>
        <v>0.3237008132805041</v>
      </c>
    </row>
    <row r="31" spans="1:20" ht="11.1" customHeight="1">
      <c r="A31" s="412"/>
      <c r="B31" s="412"/>
      <c r="C31" s="135" t="s">
        <v>90</v>
      </c>
      <c r="D31" s="280">
        <f>D25</f>
        <v>44</v>
      </c>
      <c r="E31" s="113">
        <f>E13+E19+E25</f>
        <v>3409.2773137640006</v>
      </c>
      <c r="F31" s="113">
        <f t="shared" si="3"/>
        <v>37321.812590000001</v>
      </c>
      <c r="G31" s="274">
        <f>E31/$E$32</f>
        <v>9.160734162714651E-3</v>
      </c>
      <c r="H31" s="274">
        <f t="shared" si="4"/>
        <v>-1.8312084759368175E-2</v>
      </c>
      <c r="I31" s="280">
        <f>I13+I19+I25</f>
        <v>3472.8728558589996</v>
      </c>
      <c r="J31" s="113">
        <f t="shared" ref="J31" si="8">J13+J19+J25</f>
        <v>37782.392250000004</v>
      </c>
      <c r="K31" s="274">
        <f>I31/$I$32</f>
        <v>9.6239002103834133E-3</v>
      </c>
    </row>
    <row r="32" spans="1:20" ht="11.1" customHeight="1">
      <c r="A32" s="417"/>
      <c r="B32" s="417"/>
      <c r="C32" s="285" t="s">
        <v>0</v>
      </c>
      <c r="D32" s="288">
        <f>SUM(D27:D31)</f>
        <v>279617</v>
      </c>
      <c r="E32" s="286">
        <f>SUM(E27:E31)</f>
        <v>372162.01815354399</v>
      </c>
      <c r="F32" s="286">
        <f>SUM(F27:F31)</f>
        <v>4072450.6749679553</v>
      </c>
      <c r="G32" s="287">
        <f>SUM(G27:G31)</f>
        <v>1</v>
      </c>
      <c r="H32" s="287">
        <f>(E32-I32)/I32</f>
        <v>3.1321984265013411E-2</v>
      </c>
      <c r="I32" s="288">
        <f>SUM(I27:I31)</f>
        <v>360859.19221315801</v>
      </c>
      <c r="J32" s="286">
        <f>SUM(J27:J31)</f>
        <v>3922929.5551498872</v>
      </c>
      <c r="K32" s="287">
        <f>SUM(K27:K31)</f>
        <v>0.99999999999999989</v>
      </c>
    </row>
    <row r="33" spans="1:11" ht="9.9499999999999993" customHeight="1">
      <c r="A33" s="324"/>
      <c r="B33" s="325"/>
      <c r="C33" s="326"/>
      <c r="D33" s="327"/>
      <c r="E33" s="327"/>
      <c r="F33" s="327"/>
      <c r="G33" s="328"/>
      <c r="H33" s="329"/>
      <c r="I33" s="327"/>
      <c r="J33" s="327"/>
      <c r="K33" s="328"/>
    </row>
    <row r="34" spans="1:11" ht="12.95" customHeight="1">
      <c r="A34" s="501" t="s">
        <v>44</v>
      </c>
      <c r="B34" s="501"/>
      <c r="C34" s="501"/>
      <c r="D34" s="457">
        <f>D4</f>
        <v>2026</v>
      </c>
      <c r="E34" s="320"/>
      <c r="F34" s="309"/>
      <c r="G34" s="309"/>
      <c r="H34" s="309"/>
      <c r="I34" s="457">
        <f>D34-1</f>
        <v>2025</v>
      </c>
      <c r="J34" s="458"/>
      <c r="K34" s="458"/>
    </row>
    <row r="35" spans="1:11" ht="24.95" customHeight="1">
      <c r="A35" s="271"/>
      <c r="B35" s="250"/>
      <c r="C35" s="131"/>
      <c r="D35" s="459"/>
      <c r="E35" s="321"/>
      <c r="F35" s="322"/>
      <c r="G35" s="322"/>
      <c r="H35" s="323"/>
      <c r="I35" s="459"/>
      <c r="J35" s="460"/>
      <c r="K35" s="460"/>
    </row>
    <row r="36" spans="1:11" ht="24.95" customHeight="1">
      <c r="A36" s="114"/>
      <c r="B36" s="115"/>
      <c r="C36" s="319"/>
      <c r="D36" s="330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4.95" customHeight="1">
      <c r="A37" s="114"/>
      <c r="B37" s="273"/>
      <c r="C37" s="273"/>
      <c r="D37" s="331"/>
      <c r="E37" s="455"/>
      <c r="F37" s="455"/>
      <c r="G37" s="456"/>
      <c r="H37" s="456"/>
      <c r="I37" s="453"/>
      <c r="J37" s="454"/>
      <c r="K37" s="456"/>
    </row>
    <row r="38" spans="1:11" ht="15" customHeight="1">
      <c r="A38" s="500" t="s">
        <v>155</v>
      </c>
      <c r="B38" s="500"/>
      <c r="C38" s="332" t="s">
        <v>180</v>
      </c>
      <c r="D38" s="310"/>
      <c r="E38" s="199" t="s">
        <v>247</v>
      </c>
      <c r="F38" s="199" t="s">
        <v>248</v>
      </c>
      <c r="G38" s="451"/>
      <c r="H38" s="451"/>
      <c r="I38" s="201" t="s">
        <v>247</v>
      </c>
      <c r="J38" s="199" t="s">
        <v>248</v>
      </c>
      <c r="K38" s="451"/>
    </row>
    <row r="39" spans="1:11" ht="11.1" customHeight="1">
      <c r="A39" s="418" t="str">
        <f>'3.1'!D5</f>
        <v>Leden</v>
      </c>
      <c r="B39" s="418"/>
      <c r="C39" s="145" t="s">
        <v>4</v>
      </c>
      <c r="D39" s="279">
        <v>135</v>
      </c>
      <c r="E39" s="275">
        <v>132670.95200000002</v>
      </c>
      <c r="F39" s="275">
        <v>1454853.179244</v>
      </c>
      <c r="G39" s="276">
        <f>E39/$E$44</f>
        <v>0.75107657168721376</v>
      </c>
      <c r="H39" s="276">
        <f>(E39-I39)/I39</f>
        <v>0.56699412242639857</v>
      </c>
      <c r="I39" s="279">
        <v>84665.890000000014</v>
      </c>
      <c r="J39" s="275">
        <v>921435.35846000002</v>
      </c>
      <c r="K39" s="276">
        <f>I39/$I$44</f>
        <v>0.69637319999824643</v>
      </c>
    </row>
    <row r="40" spans="1:11" ht="11.1" customHeight="1">
      <c r="A40" s="412"/>
      <c r="B40" s="412"/>
      <c r="C40" s="135" t="s">
        <v>5</v>
      </c>
      <c r="D40" s="280">
        <v>266</v>
      </c>
      <c r="E40" s="113">
        <v>5762.62</v>
      </c>
      <c r="F40" s="113">
        <v>63075.197119999997</v>
      </c>
      <c r="G40" s="274">
        <f t="shared" ref="G40" si="9">E40/$E$44</f>
        <v>3.2623334711099169E-2</v>
      </c>
      <c r="H40" s="274">
        <f>(E40-I40)/I40</f>
        <v>0.12657844771768265</v>
      </c>
      <c r="I40" s="280">
        <v>5115.152</v>
      </c>
      <c r="J40" s="113">
        <v>55589.648540000002</v>
      </c>
      <c r="K40" s="274">
        <f t="shared" ref="K40:K43" si="10">I40/$I$44</f>
        <v>4.2071898927861381E-2</v>
      </c>
    </row>
    <row r="41" spans="1:11" ht="11.1" customHeight="1">
      <c r="A41" s="412"/>
      <c r="B41" s="412"/>
      <c r="C41" s="135" t="s">
        <v>6</v>
      </c>
      <c r="D41" s="280">
        <v>12248</v>
      </c>
      <c r="E41" s="113">
        <v>12352.579</v>
      </c>
      <c r="F41" s="113">
        <v>135157.31456</v>
      </c>
      <c r="G41" s="274">
        <f>E41/$E$44</f>
        <v>6.9930399586003347E-2</v>
      </c>
      <c r="H41" s="274">
        <f t="shared" ref="H41:H43" si="11">(E41-I41)/I41</f>
        <v>0.19669581344665765</v>
      </c>
      <c r="I41" s="280">
        <v>10322.237999999999</v>
      </c>
      <c r="J41" s="113">
        <v>112138.2665</v>
      </c>
      <c r="K41" s="274">
        <f t="shared" si="10"/>
        <v>8.4899950938961341E-2</v>
      </c>
    </row>
    <row r="42" spans="1:11" ht="11.1" customHeight="1">
      <c r="A42" s="412"/>
      <c r="B42" s="412"/>
      <c r="C42" s="135" t="s">
        <v>7</v>
      </c>
      <c r="D42" s="280">
        <v>195303</v>
      </c>
      <c r="E42" s="113">
        <v>25482.6</v>
      </c>
      <c r="F42" s="113">
        <v>278919.90000000002</v>
      </c>
      <c r="G42" s="274">
        <f>E42/$E$44</f>
        <v>0.14426205252282046</v>
      </c>
      <c r="H42" s="274">
        <f t="shared" si="11"/>
        <v>0.20971853652284117</v>
      </c>
      <c r="I42" s="280">
        <v>21064.9</v>
      </c>
      <c r="J42" s="113">
        <v>228925.1</v>
      </c>
      <c r="K42" s="274">
        <f t="shared" si="10"/>
        <v>0.17325787068018844</v>
      </c>
    </row>
    <row r="43" spans="1:11" ht="11.1" customHeight="1">
      <c r="A43" s="412"/>
      <c r="B43" s="412"/>
      <c r="C43" s="135" t="s">
        <v>90</v>
      </c>
      <c r="D43" s="280">
        <v>20</v>
      </c>
      <c r="E43" s="113">
        <v>372.29600000000005</v>
      </c>
      <c r="F43" s="113">
        <v>4063.5175399999998</v>
      </c>
      <c r="G43" s="274">
        <f>E43/$E$44</f>
        <v>2.1076414928632077E-3</v>
      </c>
      <c r="H43" s="274">
        <f t="shared" si="11"/>
        <v>-9.860273448565561E-2</v>
      </c>
      <c r="I43" s="280">
        <v>413.02100000000002</v>
      </c>
      <c r="J43" s="113">
        <v>4473.49136</v>
      </c>
      <c r="K43" s="274">
        <f t="shared" si="10"/>
        <v>3.3970794547423491E-3</v>
      </c>
    </row>
    <row r="44" spans="1:11" ht="11.1" customHeight="1">
      <c r="A44" s="417"/>
      <c r="B44" s="417"/>
      <c r="C44" s="285" t="s">
        <v>0</v>
      </c>
      <c r="D44" s="288">
        <v>207972</v>
      </c>
      <c r="E44" s="286">
        <v>176641.04700000002</v>
      </c>
      <c r="F44" s="286">
        <v>1936069.1084639998</v>
      </c>
      <c r="G44" s="287">
        <f>SUM(G39:G43)</f>
        <v>0.99999999999999989</v>
      </c>
      <c r="H44" s="287">
        <f>(E44-I44)/I44</f>
        <v>0.45286479774122312</v>
      </c>
      <c r="I44" s="288">
        <v>121581.20100000002</v>
      </c>
      <c r="J44" s="286">
        <v>1322561.8648600001</v>
      </c>
      <c r="K44" s="287">
        <f>SUM(K39:K43)</f>
        <v>0.99999999999999989</v>
      </c>
    </row>
    <row r="45" spans="1:11" ht="11.1" customHeight="1">
      <c r="A45" s="418" t="str">
        <f>'3.1'!E5</f>
        <v>Únor</v>
      </c>
      <c r="B45" s="418"/>
      <c r="C45" s="145" t="s">
        <v>4</v>
      </c>
      <c r="D45" s="279">
        <v>133</v>
      </c>
      <c r="E45" s="275">
        <v>100357.59299999999</v>
      </c>
      <c r="F45" s="275">
        <v>1097739.9101120001</v>
      </c>
      <c r="G45" s="276">
        <f>E45/$E$50</f>
        <v>0.75697261018690365</v>
      </c>
      <c r="H45" s="276">
        <f>(E45-I45)/I45</f>
        <v>0.20317694527243085</v>
      </c>
      <c r="I45" s="279">
        <v>83410.502000000008</v>
      </c>
      <c r="J45" s="275">
        <v>907488.03813500004</v>
      </c>
      <c r="K45" s="276">
        <f>I45/$I$50</f>
        <v>0.71124741959053528</v>
      </c>
    </row>
    <row r="46" spans="1:11" ht="11.1" customHeight="1">
      <c r="A46" s="412"/>
      <c r="B46" s="412"/>
      <c r="C46" s="135" t="s">
        <v>5</v>
      </c>
      <c r="D46" s="280">
        <v>268</v>
      </c>
      <c r="E46" s="113">
        <v>4397.1989999999996</v>
      </c>
      <c r="F46" s="113">
        <v>47961.154069999997</v>
      </c>
      <c r="G46" s="274">
        <f t="shared" ref="G46:G49" si="12">E46/$E$50</f>
        <v>3.3166989213673573E-2</v>
      </c>
      <c r="H46" s="274">
        <f>(E46-I46)/I46</f>
        <v>-8.8630175940096478E-2</v>
      </c>
      <c r="I46" s="280">
        <v>4824.8239999999996</v>
      </c>
      <c r="J46" s="113">
        <v>52317.717270000001</v>
      </c>
      <c r="K46" s="274">
        <f t="shared" ref="K46:K49" si="13">I46/$I$50</f>
        <v>4.1141625307308236E-2</v>
      </c>
    </row>
    <row r="47" spans="1:11" ht="11.1" customHeight="1">
      <c r="A47" s="412"/>
      <c r="B47" s="412"/>
      <c r="C47" s="135" t="s">
        <v>6</v>
      </c>
      <c r="D47" s="280">
        <v>12242</v>
      </c>
      <c r="E47" s="113">
        <v>9293.634</v>
      </c>
      <c r="F47" s="113">
        <v>101332.9494</v>
      </c>
      <c r="G47" s="274">
        <f t="shared" si="12"/>
        <v>7.0099592634727245E-2</v>
      </c>
      <c r="H47" s="274">
        <f t="shared" ref="H47:H49" si="14">(E47-I47)/I47</f>
        <v>-4.7849349778642331E-2</v>
      </c>
      <c r="I47" s="280">
        <v>9760.6759999999995</v>
      </c>
      <c r="J47" s="113">
        <v>105805.59007999999</v>
      </c>
      <c r="K47" s="274">
        <f t="shared" si="13"/>
        <v>8.3229994449131442E-2</v>
      </c>
    </row>
    <row r="48" spans="1:11" ht="11.1" customHeight="1">
      <c r="A48" s="412"/>
      <c r="B48" s="412"/>
      <c r="C48" s="135" t="s">
        <v>7</v>
      </c>
      <c r="D48" s="280">
        <v>195115</v>
      </c>
      <c r="E48" s="113">
        <v>18193.900000000001</v>
      </c>
      <c r="F48" s="113">
        <v>198445.5</v>
      </c>
      <c r="G48" s="274">
        <f t="shared" si="12"/>
        <v>0.13723210731528315</v>
      </c>
      <c r="H48" s="274">
        <f t="shared" si="14"/>
        <v>-3.8062155674692441E-2</v>
      </c>
      <c r="I48" s="280">
        <v>18913.8</v>
      </c>
      <c r="J48" s="113">
        <v>205089.2</v>
      </c>
      <c r="K48" s="274">
        <f t="shared" si="13"/>
        <v>0.16127934878813538</v>
      </c>
    </row>
    <row r="49" spans="1:11" ht="11.1" customHeight="1">
      <c r="A49" s="412"/>
      <c r="B49" s="412"/>
      <c r="C49" s="135" t="s">
        <v>90</v>
      </c>
      <c r="D49" s="280">
        <v>20</v>
      </c>
      <c r="E49" s="113">
        <v>335.24900000000002</v>
      </c>
      <c r="F49" s="113">
        <v>3645.9062800000002</v>
      </c>
      <c r="G49" s="274">
        <f t="shared" si="12"/>
        <v>2.5287006494122402E-3</v>
      </c>
      <c r="H49" s="274">
        <f t="shared" si="14"/>
        <v>-7.8320324850097725E-2</v>
      </c>
      <c r="I49" s="280">
        <v>363.73700000000002</v>
      </c>
      <c r="J49" s="113">
        <v>3931.4994900000002</v>
      </c>
      <c r="K49" s="274">
        <f t="shared" si="13"/>
        <v>3.1016118648896579E-3</v>
      </c>
    </row>
    <row r="50" spans="1:11" ht="11.1" customHeight="1">
      <c r="A50" s="417"/>
      <c r="B50" s="417"/>
      <c r="C50" s="285" t="s">
        <v>0</v>
      </c>
      <c r="D50" s="288">
        <v>207778</v>
      </c>
      <c r="E50" s="286">
        <v>132577.57500000001</v>
      </c>
      <c r="F50" s="286">
        <v>1449125.419862</v>
      </c>
      <c r="G50" s="287">
        <f>SUM(G45:G49)</f>
        <v>0.99999999999999978</v>
      </c>
      <c r="H50" s="287">
        <f t="shared" ref="H50" si="15">(E50-I50)/I50</f>
        <v>0.1304986285098807</v>
      </c>
      <c r="I50" s="288">
        <v>117273.539</v>
      </c>
      <c r="J50" s="286">
        <v>1274632.044975</v>
      </c>
      <c r="K50" s="287">
        <f>SUM(K45:K49)</f>
        <v>1</v>
      </c>
    </row>
    <row r="51" spans="1:11" ht="11.1" customHeight="1">
      <c r="A51" s="418" t="str">
        <f>'3.1'!F5</f>
        <v>Březen</v>
      </c>
      <c r="B51" s="418"/>
      <c r="C51" s="145" t="s">
        <v>4</v>
      </c>
      <c r="D51" s="279">
        <v>133</v>
      </c>
      <c r="E51" s="275">
        <v>73280.035000000003</v>
      </c>
      <c r="F51" s="275">
        <v>805115.75370700005</v>
      </c>
      <c r="G51" s="276">
        <f>E51/$E$56</f>
        <v>0.75427963940839138</v>
      </c>
      <c r="H51" s="276">
        <f>(E51-I51)/I51</f>
        <v>-0.11552698990188914</v>
      </c>
      <c r="I51" s="279">
        <v>82851.635000000009</v>
      </c>
      <c r="J51" s="275">
        <v>905006.64157500002</v>
      </c>
      <c r="K51" s="276">
        <f>I51/$I$56</f>
        <v>0.77717249570180968</v>
      </c>
    </row>
    <row r="52" spans="1:11" ht="11.1" customHeight="1">
      <c r="A52" s="412"/>
      <c r="B52" s="412"/>
      <c r="C52" s="135" t="s">
        <v>5</v>
      </c>
      <c r="D52" s="280">
        <v>260</v>
      </c>
      <c r="E52" s="113">
        <v>3691.2840000000001</v>
      </c>
      <c r="F52" s="113">
        <v>40509.348469999997</v>
      </c>
      <c r="G52" s="274">
        <f t="shared" ref="G52:G55" si="16">E52/$E$56</f>
        <v>3.7994801237116828E-2</v>
      </c>
      <c r="H52" s="274">
        <f t="shared" ref="H52:H55" si="17">(E52-I52)/I52</f>
        <v>3.5754490917151618E-2</v>
      </c>
      <c r="I52" s="280">
        <v>3563.86</v>
      </c>
      <c r="J52" s="113">
        <v>38838.815470000001</v>
      </c>
      <c r="K52" s="274">
        <f t="shared" ref="K52:K55" si="18">I52/$I$56</f>
        <v>3.3430046015770862E-2</v>
      </c>
    </row>
    <row r="53" spans="1:11" ht="11.1" customHeight="1">
      <c r="A53" s="412"/>
      <c r="B53" s="412"/>
      <c r="C53" s="135" t="s">
        <v>6</v>
      </c>
      <c r="D53" s="280">
        <v>12242</v>
      </c>
      <c r="E53" s="113">
        <v>6722.6379999999999</v>
      </c>
      <c r="F53" s="113">
        <v>73739.803059999991</v>
      </c>
      <c r="G53" s="274">
        <f t="shared" si="16"/>
        <v>6.9196868785790691E-2</v>
      </c>
      <c r="H53" s="274">
        <f t="shared" si="17"/>
        <v>-1.8607606134915938E-2</v>
      </c>
      <c r="I53" s="280">
        <v>6850.1019999999999</v>
      </c>
      <c r="J53" s="113">
        <v>74620.67757</v>
      </c>
      <c r="K53" s="274">
        <f t="shared" si="18"/>
        <v>6.4255954238585128E-2</v>
      </c>
    </row>
    <row r="54" spans="1:11" ht="11.1" customHeight="1">
      <c r="A54" s="412"/>
      <c r="B54" s="412"/>
      <c r="C54" s="135" t="s">
        <v>7</v>
      </c>
      <c r="D54" s="280">
        <v>194937</v>
      </c>
      <c r="E54" s="113">
        <v>13062.6</v>
      </c>
      <c r="F54" s="113">
        <v>143352.20000000001</v>
      </c>
      <c r="G54" s="274">
        <f t="shared" si="16"/>
        <v>0.13445481047786143</v>
      </c>
      <c r="H54" s="274">
        <f t="shared" si="17"/>
        <v>8.7417177629852145E-3</v>
      </c>
      <c r="I54" s="280">
        <v>12949.4</v>
      </c>
      <c r="J54" s="113">
        <v>141122.20000000001</v>
      </c>
      <c r="K54" s="274">
        <f t="shared" si="18"/>
        <v>0.12146914802394683</v>
      </c>
    </row>
    <row r="55" spans="1:11" ht="11.1" customHeight="1">
      <c r="A55" s="412"/>
      <c r="B55" s="412"/>
      <c r="C55" s="135" t="s">
        <v>90</v>
      </c>
      <c r="D55" s="280">
        <v>20</v>
      </c>
      <c r="E55" s="113">
        <v>395.78699999999998</v>
      </c>
      <c r="F55" s="113">
        <v>4329.1598800000002</v>
      </c>
      <c r="G55" s="274">
        <f t="shared" si="16"/>
        <v>4.0738800908395982E-3</v>
      </c>
      <c r="H55" s="274">
        <f t="shared" si="17"/>
        <v>1.0957938375006611E-2</v>
      </c>
      <c r="I55" s="280">
        <v>391.49700000000001</v>
      </c>
      <c r="J55" s="113">
        <v>4252.3577699999996</v>
      </c>
      <c r="K55" s="274">
        <f t="shared" si="18"/>
        <v>3.6723560198874939E-3</v>
      </c>
    </row>
    <row r="56" spans="1:11" ht="11.1" customHeight="1">
      <c r="A56" s="417"/>
      <c r="B56" s="417"/>
      <c r="C56" s="285" t="s">
        <v>0</v>
      </c>
      <c r="D56" s="288">
        <v>207592</v>
      </c>
      <c r="E56" s="286">
        <v>97152.344000000012</v>
      </c>
      <c r="F56" s="286">
        <v>1067046.2651169999</v>
      </c>
      <c r="G56" s="287">
        <f>SUM(G51:G55)</f>
        <v>1</v>
      </c>
      <c r="H56" s="287">
        <f t="shared" ref="H56" si="19">(E56-I56)/I56</f>
        <v>-8.8682683814740162E-2</v>
      </c>
      <c r="I56" s="288">
        <v>106606.49400000001</v>
      </c>
      <c r="J56" s="286">
        <v>1163840.6923849999</v>
      </c>
      <c r="K56" s="287">
        <f>SUM(K51:K55)</f>
        <v>0.99999999999999989</v>
      </c>
    </row>
    <row r="57" spans="1:11" ht="11.1" customHeight="1">
      <c r="A57" s="476" t="str">
        <f>'3.1'!G5</f>
        <v>I. čtvrtletí</v>
      </c>
      <c r="B57" s="418"/>
      <c r="C57" s="145" t="s">
        <v>4</v>
      </c>
      <c r="D57" s="279">
        <f>D51</f>
        <v>133</v>
      </c>
      <c r="E57" s="275">
        <f>E39+E45+E51</f>
        <v>306308.58</v>
      </c>
      <c r="F57" s="275">
        <f>F39+F45+F51</f>
        <v>3357708.8430630001</v>
      </c>
      <c r="G57" s="276">
        <f>E57/$E$62</f>
        <v>0.75376590757716688</v>
      </c>
      <c r="H57" s="276">
        <f>(E57-I57)/I57</f>
        <v>0.22070293885505257</v>
      </c>
      <c r="I57" s="279">
        <f>I39+I45+I51</f>
        <v>250928.02700000003</v>
      </c>
      <c r="J57" s="275">
        <f>J39+J45+J51</f>
        <v>2733930.0381700001</v>
      </c>
      <c r="K57" s="276">
        <f>I57/$I$62</f>
        <v>0.72635654106417058</v>
      </c>
    </row>
    <row r="58" spans="1:11" ht="11.1" customHeight="1">
      <c r="A58" s="412"/>
      <c r="B58" s="412"/>
      <c r="C58" s="135" t="s">
        <v>5</v>
      </c>
      <c r="D58" s="280">
        <f>D52</f>
        <v>260</v>
      </c>
      <c r="E58" s="113">
        <f t="shared" ref="E58:F59" si="20">E40+E46+E52</f>
        <v>13851.102999999999</v>
      </c>
      <c r="F58" s="113">
        <f t="shared" si="20"/>
        <v>151545.69965999998</v>
      </c>
      <c r="G58" s="274">
        <f t="shared" ref="G58:G61" si="21">E58/$E$62</f>
        <v>3.4084873573374329E-2</v>
      </c>
      <c r="H58" s="274">
        <f t="shared" ref="H58:H61" si="22">(E58-I58)/I58</f>
        <v>2.571617427818287E-2</v>
      </c>
      <c r="I58" s="280">
        <f t="shared" ref="I58:J58" si="23">I40+I46+I52</f>
        <v>13503.835999999999</v>
      </c>
      <c r="J58" s="113">
        <f t="shared" si="23"/>
        <v>146746.18128000002</v>
      </c>
      <c r="K58" s="274">
        <f t="shared" ref="K58:K61" si="24">I58/$I$62</f>
        <v>3.90892947484811E-2</v>
      </c>
    </row>
    <row r="59" spans="1:11" ht="11.1" customHeight="1">
      <c r="A59" s="412"/>
      <c r="B59" s="412"/>
      <c r="C59" s="135" t="s">
        <v>6</v>
      </c>
      <c r="D59" s="280">
        <f>D53</f>
        <v>12242</v>
      </c>
      <c r="E59" s="113">
        <f>E41+E47+E53</f>
        <v>28368.850999999999</v>
      </c>
      <c r="F59" s="113">
        <f t="shared" si="20"/>
        <v>310230.06702000002</v>
      </c>
      <c r="G59" s="274">
        <f t="shared" si="21"/>
        <v>6.9810230979936688E-2</v>
      </c>
      <c r="H59" s="274">
        <f t="shared" si="22"/>
        <v>5.3311333569177805E-2</v>
      </c>
      <c r="I59" s="280">
        <f>I41+I47+I53</f>
        <v>26933.015999999996</v>
      </c>
      <c r="J59" s="113">
        <f t="shared" ref="J59" si="25">J41+J47+J53</f>
        <v>292564.53414999996</v>
      </c>
      <c r="K59" s="274">
        <f t="shared" si="24"/>
        <v>7.7962484207417596E-2</v>
      </c>
    </row>
    <row r="60" spans="1:11" ht="11.1" customHeight="1">
      <c r="A60" s="412"/>
      <c r="B60" s="412"/>
      <c r="C60" s="135" t="s">
        <v>7</v>
      </c>
      <c r="D60" s="280">
        <f>D54</f>
        <v>194937</v>
      </c>
      <c r="E60" s="113">
        <f t="shared" ref="E60:F61" si="26">E42+E48+E54</f>
        <v>56739.1</v>
      </c>
      <c r="F60" s="113">
        <f t="shared" si="26"/>
        <v>620717.60000000009</v>
      </c>
      <c r="G60" s="274">
        <f t="shared" si="21"/>
        <v>0.13962390216627829</v>
      </c>
      <c r="H60" s="274">
        <f t="shared" si="22"/>
        <v>7.2003340380629569E-2</v>
      </c>
      <c r="I60" s="280">
        <f t="shared" ref="I60:J60" si="27">I42+I48+I54</f>
        <v>52928.1</v>
      </c>
      <c r="J60" s="113">
        <f t="shared" si="27"/>
        <v>575136.5</v>
      </c>
      <c r="K60" s="274">
        <f t="shared" si="24"/>
        <v>0.15320995466599879</v>
      </c>
    </row>
    <row r="61" spans="1:11" ht="11.1" customHeight="1">
      <c r="A61" s="412"/>
      <c r="B61" s="412"/>
      <c r="C61" s="135" t="s">
        <v>90</v>
      </c>
      <c r="D61" s="280">
        <f>D55</f>
        <v>20</v>
      </c>
      <c r="E61" s="113">
        <f>E43+E49+E55</f>
        <v>1103.3320000000001</v>
      </c>
      <c r="F61" s="113">
        <f t="shared" si="26"/>
        <v>12038.583699999999</v>
      </c>
      <c r="G61" s="274">
        <f t="shared" si="21"/>
        <v>2.7150857032438684E-3</v>
      </c>
      <c r="H61" s="274">
        <f t="shared" si="22"/>
        <v>-5.5572627551347946E-2</v>
      </c>
      <c r="I61" s="280">
        <f>I43+I49+I55</f>
        <v>1168.2550000000001</v>
      </c>
      <c r="J61" s="113">
        <f t="shared" ref="J61" si="28">J43+J49+J55</f>
        <v>12657.348620000001</v>
      </c>
      <c r="K61" s="274">
        <f t="shared" si="24"/>
        <v>3.3817253139320404E-3</v>
      </c>
    </row>
    <row r="62" spans="1:11" ht="11.1" customHeight="1">
      <c r="A62" s="417"/>
      <c r="B62" s="417"/>
      <c r="C62" s="285" t="s">
        <v>0</v>
      </c>
      <c r="D62" s="288">
        <f>SUM(D57:D61)</f>
        <v>207592</v>
      </c>
      <c r="E62" s="286">
        <f>SUM(E57:E61)</f>
        <v>406370.96600000001</v>
      </c>
      <c r="F62" s="286">
        <f>SUM(F57:F61)</f>
        <v>4452240.7934430009</v>
      </c>
      <c r="G62" s="287">
        <f>SUM(G57:G61)</f>
        <v>1</v>
      </c>
      <c r="H62" s="287">
        <f>(E62-I62)/I62</f>
        <v>0.17631423154124443</v>
      </c>
      <c r="I62" s="288">
        <f>SUM(I57:I61)</f>
        <v>345461.234</v>
      </c>
      <c r="J62" s="286">
        <f>SUM(J57:J61)</f>
        <v>3761034.6022200002</v>
      </c>
      <c r="K62" s="287">
        <f>SUM(K57:K61)</f>
        <v>1.0000000000000002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20"/>
  <sheetViews>
    <sheetView showGridLines="0" topLeftCell="A18" zoomScaleNormal="100" zoomScaleSheetLayoutView="100" workbookViewId="0">
      <selection activeCell="C1" sqref="C1"/>
    </sheetView>
  </sheetViews>
  <sheetFormatPr defaultColWidth="9.140625" defaultRowHeight="12.75"/>
  <cols>
    <col min="1" max="1" width="9.42578125" style="67" customWidth="1"/>
    <col min="2" max="2" width="3.85546875" style="67" customWidth="1"/>
    <col min="3" max="11" width="9.5703125" style="67" customWidth="1"/>
    <col min="12" max="13" width="9.140625" style="67"/>
    <col min="14" max="14" width="11.140625" style="67" customWidth="1"/>
    <col min="15" max="16384" width="9.140625" style="67"/>
  </cols>
  <sheetData>
    <row r="1" spans="1:16" s="91" customFormat="1" ht="18">
      <c r="A1" s="485" t="s">
        <v>293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6" s="91" customFormat="1" ht="3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6" ht="3" customHeight="1">
      <c r="A3" s="502"/>
      <c r="B3" s="502"/>
      <c r="C3" s="502"/>
      <c r="D3" s="267"/>
      <c r="E3" s="267"/>
      <c r="F3" s="268"/>
      <c r="G3" s="269"/>
      <c r="H3" s="269"/>
      <c r="I3" s="269"/>
    </row>
    <row r="4" spans="1:16" ht="12.95" customHeight="1">
      <c r="A4" s="463" t="s">
        <v>45</v>
      </c>
      <c r="B4" s="463"/>
      <c r="C4" s="463"/>
      <c r="D4" s="457">
        <f>'3.1'!A4</f>
        <v>2026</v>
      </c>
      <c r="E4" s="320"/>
      <c r="F4" s="309"/>
      <c r="G4" s="309"/>
      <c r="H4" s="309"/>
      <c r="I4" s="457">
        <f>D4-1</f>
        <v>2025</v>
      </c>
      <c r="J4" s="458"/>
      <c r="K4" s="458"/>
    </row>
    <row r="5" spans="1:16" ht="24.95" customHeight="1">
      <c r="A5" s="131"/>
      <c r="B5" s="131"/>
      <c r="C5" s="131"/>
      <c r="D5" s="459"/>
      <c r="E5" s="321"/>
      <c r="F5" s="322"/>
      <c r="G5" s="322"/>
      <c r="H5" s="323"/>
      <c r="I5" s="459"/>
      <c r="J5" s="460"/>
      <c r="K5" s="460"/>
    </row>
    <row r="6" spans="1:16" ht="24.95" customHeight="1">
      <c r="A6" s="271"/>
      <c r="B6" s="250"/>
      <c r="C6" s="272"/>
      <c r="D6" s="330" t="s">
        <v>156</v>
      </c>
      <c r="E6" s="455" t="s">
        <v>59</v>
      </c>
      <c r="F6" s="455"/>
      <c r="G6" s="456" t="s">
        <v>32</v>
      </c>
      <c r="H6" s="456" t="s">
        <v>256</v>
      </c>
      <c r="I6" s="453" t="s">
        <v>59</v>
      </c>
      <c r="J6" s="454"/>
      <c r="K6" s="456" t="s">
        <v>32</v>
      </c>
    </row>
    <row r="7" spans="1:16" ht="24.95" customHeight="1">
      <c r="A7" s="271"/>
      <c r="B7" s="273"/>
      <c r="D7" s="331"/>
      <c r="E7" s="455"/>
      <c r="F7" s="455"/>
      <c r="G7" s="456"/>
      <c r="H7" s="456"/>
      <c r="I7" s="453"/>
      <c r="J7" s="454"/>
      <c r="K7" s="456"/>
    </row>
    <row r="8" spans="1:16" ht="15" customHeight="1">
      <c r="A8" s="464" t="s">
        <v>155</v>
      </c>
      <c r="B8" s="464"/>
      <c r="C8" s="290" t="s">
        <v>180</v>
      </c>
      <c r="D8" s="310"/>
      <c r="E8" s="199" t="s">
        <v>247</v>
      </c>
      <c r="F8" s="199" t="s">
        <v>248</v>
      </c>
      <c r="G8" s="451"/>
      <c r="H8" s="451"/>
      <c r="I8" s="201" t="s">
        <v>247</v>
      </c>
      <c r="J8" s="199" t="s">
        <v>248</v>
      </c>
      <c r="K8" s="451"/>
    </row>
    <row r="9" spans="1:16" ht="11.1" customHeight="1">
      <c r="A9" s="418" t="str">
        <f>'3.1'!D5</f>
        <v>Leden</v>
      </c>
      <c r="B9" s="418"/>
      <c r="C9" s="145" t="s">
        <v>4</v>
      </c>
      <c r="D9" s="279">
        <v>79</v>
      </c>
      <c r="E9" s="275">
        <v>11769.670614000001</v>
      </c>
      <c r="F9" s="275">
        <v>128839.50479599999</v>
      </c>
      <c r="G9" s="276">
        <f>E9/$E$14</f>
        <v>0.24551647424465717</v>
      </c>
      <c r="H9" s="276">
        <f>(E9-I9)/I9</f>
        <v>9.8884344233329965E-2</v>
      </c>
      <c r="I9" s="279">
        <v>10710.563560000001</v>
      </c>
      <c r="J9" s="275">
        <v>116436.242168</v>
      </c>
      <c r="K9" s="276">
        <f>I9/$I$14</f>
        <v>0.2574373936679083</v>
      </c>
    </row>
    <row r="10" spans="1:16" ht="11.1" customHeight="1">
      <c r="A10" s="412"/>
      <c r="B10" s="412"/>
      <c r="C10" s="135" t="s">
        <v>5</v>
      </c>
      <c r="D10" s="280">
        <v>297</v>
      </c>
      <c r="E10" s="113">
        <v>6484.985713</v>
      </c>
      <c r="F10" s="113">
        <v>70992.474675000005</v>
      </c>
      <c r="G10" s="274">
        <f>E10/$E$14</f>
        <v>0.13527743298855366</v>
      </c>
      <c r="H10" s="274">
        <f>(E10-I10)/I10</f>
        <v>0.1815624015089386</v>
      </c>
      <c r="I10" s="280">
        <v>5488.4834730000002</v>
      </c>
      <c r="J10" s="113">
        <v>59674.872560000003</v>
      </c>
      <c r="K10" s="274">
        <f>I10/$I$14</f>
        <v>0.13192031143490171</v>
      </c>
      <c r="L10" s="68"/>
      <c r="N10" s="68"/>
      <c r="O10" s="68"/>
      <c r="P10" s="68"/>
    </row>
    <row r="11" spans="1:16" ht="11.1" customHeight="1">
      <c r="A11" s="412"/>
      <c r="B11" s="412"/>
      <c r="C11" s="135" t="s">
        <v>6</v>
      </c>
      <c r="D11" s="280">
        <v>10764</v>
      </c>
      <c r="E11" s="113">
        <v>11186.217470000001</v>
      </c>
      <c r="F11" s="113">
        <v>122455.14576299999</v>
      </c>
      <c r="G11" s="274">
        <f>E11/$E$14</f>
        <v>0.23334558488846333</v>
      </c>
      <c r="H11" s="274">
        <f t="shared" ref="H11:H13" si="0">(E11-I11)/I11</f>
        <v>0.16286836971196045</v>
      </c>
      <c r="I11" s="280">
        <v>9619.5044610000004</v>
      </c>
      <c r="J11" s="113">
        <v>104580.350185</v>
      </c>
      <c r="K11" s="274">
        <f>I11/$I$14</f>
        <v>0.23121287156776438</v>
      </c>
      <c r="L11" s="68"/>
      <c r="N11" s="68"/>
      <c r="O11" s="68"/>
      <c r="P11" s="68"/>
    </row>
    <row r="12" spans="1:16" ht="11.1" customHeight="1">
      <c r="A12" s="412"/>
      <c r="B12" s="412"/>
      <c r="C12" s="135" t="s">
        <v>7</v>
      </c>
      <c r="D12" s="280">
        <v>107285</v>
      </c>
      <c r="E12" s="113">
        <v>18356.832130999999</v>
      </c>
      <c r="F12" s="113">
        <v>200942.693444</v>
      </c>
      <c r="G12" s="274">
        <f>E12/$E$14</f>
        <v>0.38292530444677031</v>
      </c>
      <c r="H12" s="274">
        <f t="shared" si="0"/>
        <v>0.17275418473183562</v>
      </c>
      <c r="I12" s="280">
        <v>15652.753467</v>
      </c>
      <c r="J12" s="113">
        <v>170151.10689400003</v>
      </c>
      <c r="K12" s="274">
        <f>I12/$I$14</f>
        <v>0.37622708027427043</v>
      </c>
      <c r="L12" s="68"/>
      <c r="N12" s="68"/>
      <c r="O12" s="68"/>
      <c r="P12" s="68"/>
    </row>
    <row r="13" spans="1:16" ht="11.1" customHeight="1">
      <c r="A13" s="412"/>
      <c r="B13" s="412"/>
      <c r="C13" s="135" t="s">
        <v>90</v>
      </c>
      <c r="D13" s="280">
        <v>15</v>
      </c>
      <c r="E13" s="113">
        <v>140.709</v>
      </c>
      <c r="F13" s="113">
        <v>1540.4724940000001</v>
      </c>
      <c r="G13" s="274">
        <f>E13/$E$14</f>
        <v>2.9352034315555625E-3</v>
      </c>
      <c r="H13" s="274">
        <f t="shared" si="0"/>
        <v>5.6120151314999429E-2</v>
      </c>
      <c r="I13" s="280">
        <v>133.232</v>
      </c>
      <c r="J13" s="113">
        <v>1449.14887</v>
      </c>
      <c r="K13" s="274">
        <f>I13/$I$14</f>
        <v>3.202343055155051E-3</v>
      </c>
      <c r="L13" s="68"/>
      <c r="N13" s="68"/>
      <c r="O13" s="68"/>
      <c r="P13" s="68"/>
    </row>
    <row r="14" spans="1:16" ht="11.1" customHeight="1">
      <c r="A14" s="417"/>
      <c r="B14" s="417"/>
      <c r="C14" s="285" t="s">
        <v>0</v>
      </c>
      <c r="D14" s="288">
        <v>118440</v>
      </c>
      <c r="E14" s="286">
        <v>47938.414927999998</v>
      </c>
      <c r="F14" s="286">
        <v>524770.291172</v>
      </c>
      <c r="G14" s="287">
        <f>SUM(G9:G13)</f>
        <v>1</v>
      </c>
      <c r="H14" s="287">
        <f>(E14-I14)/I14</f>
        <v>0.1522400783582174</v>
      </c>
      <c r="I14" s="288">
        <v>41604.536961000005</v>
      </c>
      <c r="J14" s="286">
        <v>452291.720677</v>
      </c>
      <c r="K14" s="287">
        <f>SUM(K9:K13)</f>
        <v>0.99999999999999989</v>
      </c>
      <c r="L14" s="68"/>
    </row>
    <row r="15" spans="1:16" ht="11.1" customHeight="1">
      <c r="A15" s="418" t="str">
        <f>'3.1'!E5</f>
        <v>Únor</v>
      </c>
      <c r="B15" s="418"/>
      <c r="C15" s="145" t="s">
        <v>4</v>
      </c>
      <c r="D15" s="279">
        <v>78</v>
      </c>
      <c r="E15" s="275">
        <v>9736.2156429999995</v>
      </c>
      <c r="F15" s="275">
        <v>106209.168353</v>
      </c>
      <c r="G15" s="276">
        <f>E15/$E$20</f>
        <v>0.26844143124195236</v>
      </c>
      <c r="H15" s="276">
        <f>(E15-I15)/I15</f>
        <v>-8.7248747864111173E-3</v>
      </c>
      <c r="I15" s="279">
        <v>9821.9105830000008</v>
      </c>
      <c r="J15" s="275">
        <v>106537.68032299999</v>
      </c>
      <c r="K15" s="276">
        <f>I15/$I$20</f>
        <v>0.25821794962453654</v>
      </c>
      <c r="L15" s="68"/>
      <c r="M15" s="68"/>
    </row>
    <row r="16" spans="1:16" ht="11.1" customHeight="1">
      <c r="A16" s="412"/>
      <c r="B16" s="412"/>
      <c r="C16" s="135" t="s">
        <v>5</v>
      </c>
      <c r="D16" s="280">
        <v>298</v>
      </c>
      <c r="E16" s="113">
        <v>5025.3376400000006</v>
      </c>
      <c r="F16" s="113">
        <v>54822.577504000001</v>
      </c>
      <c r="G16" s="274">
        <f>E16/$E$20</f>
        <v>0.13855576725291058</v>
      </c>
      <c r="H16" s="274">
        <f>(E16-I16)/I16</f>
        <v>2.4927976779254677E-3</v>
      </c>
      <c r="I16" s="280">
        <v>5012.8416400000006</v>
      </c>
      <c r="J16" s="113">
        <v>54383.379107000001</v>
      </c>
      <c r="K16" s="274">
        <f>I16/$I$20</f>
        <v>0.13178756608858644</v>
      </c>
      <c r="L16" s="86"/>
      <c r="M16" s="68"/>
    </row>
    <row r="17" spans="1:20" ht="11.1" customHeight="1">
      <c r="A17" s="412"/>
      <c r="B17" s="412"/>
      <c r="C17" s="135" t="s">
        <v>6</v>
      </c>
      <c r="D17" s="280">
        <v>10783</v>
      </c>
      <c r="E17" s="113">
        <v>8311.9683939999995</v>
      </c>
      <c r="F17" s="113">
        <v>90674.147801000014</v>
      </c>
      <c r="G17" s="274">
        <f>E17/$E$20</f>
        <v>0.22917289159751122</v>
      </c>
      <c r="H17" s="274">
        <f t="shared" ref="H17:H20" si="1">(E17-I17)/I17</f>
        <v>-7.9333911027730006E-2</v>
      </c>
      <c r="I17" s="280">
        <v>9028.211741000001</v>
      </c>
      <c r="J17" s="113">
        <v>97932.480955999999</v>
      </c>
      <c r="K17" s="274">
        <f>I17/$I$20</f>
        <v>0.23735161350095824</v>
      </c>
      <c r="L17" s="68"/>
      <c r="M17" s="68"/>
      <c r="N17" s="68"/>
      <c r="O17" s="68"/>
    </row>
    <row r="18" spans="1:20" ht="11.1" customHeight="1">
      <c r="A18" s="412"/>
      <c r="B18" s="412"/>
      <c r="C18" s="135" t="s">
        <v>7</v>
      </c>
      <c r="D18" s="280">
        <v>107331</v>
      </c>
      <c r="E18" s="113">
        <v>13064.205662</v>
      </c>
      <c r="F18" s="113">
        <v>142508.85580799999</v>
      </c>
      <c r="G18" s="274">
        <f>E18/$E$20</f>
        <v>0.36019888984976312</v>
      </c>
      <c r="H18" s="274">
        <f t="shared" si="1"/>
        <v>-6.9897990154051626E-2</v>
      </c>
      <c r="I18" s="280">
        <v>14045.992292999999</v>
      </c>
      <c r="J18" s="113">
        <v>152345.679668</v>
      </c>
      <c r="K18" s="274">
        <f>I18/$I$20</f>
        <v>0.36926902354599678</v>
      </c>
      <c r="L18" s="68"/>
      <c r="M18" s="68"/>
      <c r="N18" s="68"/>
      <c r="O18" s="68"/>
    </row>
    <row r="19" spans="1:20" ht="11.1" customHeight="1">
      <c r="A19" s="412"/>
      <c r="B19" s="412"/>
      <c r="C19" s="135" t="s">
        <v>90</v>
      </c>
      <c r="D19" s="280">
        <v>15</v>
      </c>
      <c r="E19" s="113">
        <v>131.69499999999999</v>
      </c>
      <c r="F19" s="113">
        <v>1436.8950490000002</v>
      </c>
      <c r="G19" s="274">
        <f>E19/$E$20</f>
        <v>3.6310200578626309E-3</v>
      </c>
      <c r="H19" s="274">
        <f t="shared" si="1"/>
        <v>2.6205467069787734E-2</v>
      </c>
      <c r="I19" s="280">
        <v>128.33199999999999</v>
      </c>
      <c r="J19" s="113">
        <v>1392.7136310000001</v>
      </c>
      <c r="K19" s="274">
        <f>I19/$I$20</f>
        <v>3.3738472399220797E-3</v>
      </c>
      <c r="L19" s="68"/>
      <c r="M19" s="68"/>
      <c r="N19" s="68"/>
      <c r="O19" s="68"/>
    </row>
    <row r="20" spans="1:20" ht="11.1" customHeight="1">
      <c r="A20" s="417"/>
      <c r="B20" s="417"/>
      <c r="C20" s="285" t="s">
        <v>0</v>
      </c>
      <c r="D20" s="288">
        <v>118505</v>
      </c>
      <c r="E20" s="286">
        <v>36269.422339000004</v>
      </c>
      <c r="F20" s="286">
        <v>395651.64451499999</v>
      </c>
      <c r="G20" s="287">
        <f>SUM(G15:G19)</f>
        <v>0.99999999999999989</v>
      </c>
      <c r="H20" s="287">
        <f t="shared" si="1"/>
        <v>-4.6477180656395917E-2</v>
      </c>
      <c r="I20" s="288">
        <v>38037.288257</v>
      </c>
      <c r="J20" s="286">
        <v>412591.93368500005</v>
      </c>
      <c r="K20" s="287">
        <f>SUM(K15:K19)</f>
        <v>1</v>
      </c>
      <c r="L20" s="68"/>
      <c r="M20" s="68"/>
      <c r="N20" s="68"/>
      <c r="O20" s="68"/>
    </row>
    <row r="21" spans="1:20" ht="11.1" customHeight="1">
      <c r="A21" s="418" t="str">
        <f>'3.1'!F5</f>
        <v>Březen</v>
      </c>
      <c r="B21" s="418"/>
      <c r="C21" s="145" t="s">
        <v>4</v>
      </c>
      <c r="D21" s="279">
        <v>78</v>
      </c>
      <c r="E21" s="275">
        <v>9215.7611550000001</v>
      </c>
      <c r="F21" s="275">
        <v>101124.881631</v>
      </c>
      <c r="G21" s="276">
        <f>E21/$E$26</f>
        <v>0.32120335758220286</v>
      </c>
      <c r="H21" s="276">
        <f>(E21-I21)/I21</f>
        <v>-1.0546454234972934E-2</v>
      </c>
      <c r="I21" s="279">
        <v>9313.9907320000002</v>
      </c>
      <c r="J21" s="275">
        <v>101563.74040699999</v>
      </c>
      <c r="K21" s="276">
        <f>I21/$I$26</f>
        <v>0.32058504554850081</v>
      </c>
      <c r="L21" s="78"/>
      <c r="M21" s="78"/>
      <c r="N21" s="78"/>
      <c r="O21" s="78"/>
      <c r="P21" s="78"/>
      <c r="Q21" s="78"/>
      <c r="R21" s="78"/>
      <c r="S21" s="78"/>
      <c r="T21" s="78"/>
    </row>
    <row r="22" spans="1:20" ht="11.1" customHeight="1">
      <c r="A22" s="412"/>
      <c r="B22" s="412"/>
      <c r="C22" s="135" t="s">
        <v>5</v>
      </c>
      <c r="D22" s="280">
        <v>281</v>
      </c>
      <c r="E22" s="113">
        <v>3801.8881540000002</v>
      </c>
      <c r="F22" s="113">
        <v>41716.096438999994</v>
      </c>
      <c r="G22" s="274">
        <f>E22/$E$26</f>
        <v>0.13250986214570609</v>
      </c>
      <c r="H22" s="274">
        <f t="shared" ref="H22:H26" si="2">(E22-I22)/I22</f>
        <v>6.1526535510652132E-2</v>
      </c>
      <c r="I22" s="280">
        <v>3581.529078</v>
      </c>
      <c r="J22" s="113">
        <v>39069.666148999997</v>
      </c>
      <c r="K22" s="274">
        <f>I22/$I$26</f>
        <v>0.12327526359448712</v>
      </c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11.1" customHeight="1">
      <c r="A23" s="412"/>
      <c r="B23" s="412"/>
      <c r="C23" s="135" t="s">
        <v>6</v>
      </c>
      <c r="D23" s="280">
        <v>10788</v>
      </c>
      <c r="E23" s="113">
        <v>6069.1563779999997</v>
      </c>
      <c r="F23" s="113">
        <v>66595.832811999993</v>
      </c>
      <c r="G23" s="274">
        <f>E23/$E$26</f>
        <v>0.21153254446567099</v>
      </c>
      <c r="H23" s="274">
        <f t="shared" si="2"/>
        <v>-4.4328432233185236E-2</v>
      </c>
      <c r="I23" s="280">
        <v>6350.6716980000001</v>
      </c>
      <c r="J23" s="113">
        <v>69258.471718999994</v>
      </c>
      <c r="K23" s="274">
        <f>I23/$I$26</f>
        <v>0.21858840470734806</v>
      </c>
      <c r="L23" s="78"/>
      <c r="M23" s="78"/>
      <c r="N23" s="78"/>
      <c r="O23" s="78"/>
      <c r="P23" s="78"/>
      <c r="Q23" s="78"/>
      <c r="R23" s="78"/>
      <c r="S23" s="78"/>
      <c r="T23" s="78"/>
    </row>
    <row r="24" spans="1:20" ht="11.1" customHeight="1">
      <c r="A24" s="412"/>
      <c r="B24" s="412"/>
      <c r="C24" s="135" t="s">
        <v>7</v>
      </c>
      <c r="D24" s="280">
        <v>107238</v>
      </c>
      <c r="E24" s="113">
        <v>9460.0772799999995</v>
      </c>
      <c r="F24" s="113">
        <v>103808.34084400001</v>
      </c>
      <c r="G24" s="274">
        <f>E24/$E$26</f>
        <v>0.32971867805780963</v>
      </c>
      <c r="H24" s="274">
        <f t="shared" si="2"/>
        <v>-2.123685621641408E-2</v>
      </c>
      <c r="I24" s="280">
        <v>9665.3386879999998</v>
      </c>
      <c r="J24" s="113">
        <v>105386.301886</v>
      </c>
      <c r="K24" s="274">
        <f>I24/$I$26</f>
        <v>0.3326783473048196</v>
      </c>
      <c r="L24" s="78"/>
      <c r="M24" s="78"/>
      <c r="N24" s="78"/>
      <c r="O24" s="78"/>
      <c r="P24" s="78"/>
      <c r="Q24" s="78"/>
      <c r="R24" s="78"/>
      <c r="S24" s="78"/>
      <c r="T24" s="78"/>
    </row>
    <row r="25" spans="1:20" ht="11.1" customHeight="1">
      <c r="A25" s="412"/>
      <c r="B25" s="412"/>
      <c r="C25" s="135" t="s">
        <v>90</v>
      </c>
      <c r="D25" s="280">
        <v>15</v>
      </c>
      <c r="E25" s="113">
        <v>144.47699999999998</v>
      </c>
      <c r="F25" s="113">
        <v>1585.1147329999999</v>
      </c>
      <c r="G25" s="274">
        <f>E25/$E$26</f>
        <v>5.0355577486105012E-3</v>
      </c>
      <c r="H25" s="274">
        <f t="shared" si="2"/>
        <v>2.0505177504343757E-2</v>
      </c>
      <c r="I25" s="280">
        <v>141.57400000000001</v>
      </c>
      <c r="J25" s="113">
        <v>1545.4922160000001</v>
      </c>
      <c r="K25" s="274">
        <f>I25/$I$26</f>
        <v>4.8729388448443926E-3</v>
      </c>
      <c r="L25" s="78"/>
      <c r="M25" s="78"/>
      <c r="N25" s="78"/>
      <c r="O25" s="78"/>
      <c r="P25" s="78"/>
      <c r="Q25" s="78"/>
      <c r="R25" s="78"/>
      <c r="S25" s="78"/>
      <c r="T25" s="78"/>
    </row>
    <row r="26" spans="1:20" ht="11.1" customHeight="1">
      <c r="A26" s="417"/>
      <c r="B26" s="417"/>
      <c r="C26" s="285" t="s">
        <v>0</v>
      </c>
      <c r="D26" s="288">
        <v>118400</v>
      </c>
      <c r="E26" s="286">
        <v>28691.359966999997</v>
      </c>
      <c r="F26" s="286">
        <v>314830.26645899995</v>
      </c>
      <c r="G26" s="287">
        <f>SUM(G21:G25)</f>
        <v>1</v>
      </c>
      <c r="H26" s="287">
        <f t="shared" si="2"/>
        <v>-1.2451138665237985E-2</v>
      </c>
      <c r="I26" s="288">
        <v>29053.104196</v>
      </c>
      <c r="J26" s="286">
        <v>316823.67237699998</v>
      </c>
      <c r="K26" s="287">
        <f>SUM(K21:K25)</f>
        <v>1</v>
      </c>
    </row>
    <row r="27" spans="1:20" ht="11.1" customHeight="1">
      <c r="A27" s="476" t="str">
        <f>'3.1'!G5</f>
        <v>I. čtvrtletí</v>
      </c>
      <c r="B27" s="418"/>
      <c r="C27" s="145" t="s">
        <v>4</v>
      </c>
      <c r="D27" s="279">
        <f>D21</f>
        <v>78</v>
      </c>
      <c r="E27" s="275">
        <f>E9+E15+E21</f>
        <v>30721.647411999998</v>
      </c>
      <c r="F27" s="275">
        <f>F9+F15+F21</f>
        <v>336173.55478000001</v>
      </c>
      <c r="G27" s="276">
        <f>E27/$E$32</f>
        <v>0.27211572947082097</v>
      </c>
      <c r="H27" s="276">
        <f>(E27-I27)/I27</f>
        <v>2.9322820664536092E-2</v>
      </c>
      <c r="I27" s="279">
        <f>I9+I15+I21</f>
        <v>29846.464874999998</v>
      </c>
      <c r="J27" s="275">
        <f>J9+J15+J21</f>
        <v>324537.66289799998</v>
      </c>
      <c r="K27" s="276">
        <f>I27/$I$32</f>
        <v>0.27458930270169296</v>
      </c>
    </row>
    <row r="28" spans="1:20" ht="11.1" customHeight="1">
      <c r="A28" s="412"/>
      <c r="B28" s="412"/>
      <c r="C28" s="135" t="s">
        <v>5</v>
      </c>
      <c r="D28" s="280">
        <f>D22</f>
        <v>281</v>
      </c>
      <c r="E28" s="113">
        <f t="shared" ref="E28:F31" si="3">E10+E16+E22</f>
        <v>15312.211507</v>
      </c>
      <c r="F28" s="113">
        <f t="shared" si="3"/>
        <v>167531.14861800001</v>
      </c>
      <c r="G28" s="274">
        <f>E28/$E$32</f>
        <v>0.13562728418044653</v>
      </c>
      <c r="H28" s="274">
        <f t="shared" ref="H28:H31" si="4">(E28-I28)/I28</f>
        <v>8.7294613671825921E-2</v>
      </c>
      <c r="I28" s="280">
        <f t="shared" ref="I28:J28" si="5">I10+I16+I22</f>
        <v>14082.854191</v>
      </c>
      <c r="J28" s="113">
        <f t="shared" si="5"/>
        <v>153127.917816</v>
      </c>
      <c r="K28" s="274">
        <f>I28/$I$32</f>
        <v>0.12956312007307047</v>
      </c>
    </row>
    <row r="29" spans="1:20" ht="11.1" customHeight="1">
      <c r="A29" s="412"/>
      <c r="B29" s="412"/>
      <c r="C29" s="135" t="s">
        <v>6</v>
      </c>
      <c r="D29" s="280">
        <f>D23</f>
        <v>10788</v>
      </c>
      <c r="E29" s="113">
        <f t="shared" si="3"/>
        <v>25567.342241999999</v>
      </c>
      <c r="F29" s="113">
        <f t="shared" si="3"/>
        <v>279725.126376</v>
      </c>
      <c r="G29" s="274">
        <f>E29/$E$32</f>
        <v>0.22646168323950053</v>
      </c>
      <c r="H29" s="274">
        <f t="shared" si="4"/>
        <v>2.2759641312710299E-2</v>
      </c>
      <c r="I29" s="280">
        <f t="shared" ref="I29:J29" si="6">I11+I17+I23</f>
        <v>24998.387900000002</v>
      </c>
      <c r="J29" s="113">
        <f t="shared" si="6"/>
        <v>271771.30286</v>
      </c>
      <c r="K29" s="274">
        <f>I29/$I$32</f>
        <v>0.22998669795152549</v>
      </c>
    </row>
    <row r="30" spans="1:20" ht="11.1" customHeight="1">
      <c r="A30" s="412"/>
      <c r="B30" s="412"/>
      <c r="C30" s="135" t="s">
        <v>7</v>
      </c>
      <c r="D30" s="280">
        <f>D24</f>
        <v>107238</v>
      </c>
      <c r="E30" s="113">
        <f t="shared" si="3"/>
        <v>40881.115073000001</v>
      </c>
      <c r="F30" s="113">
        <f t="shared" si="3"/>
        <v>447259.89009599999</v>
      </c>
      <c r="G30" s="274">
        <f>E30/$E$32</f>
        <v>0.36210279678311574</v>
      </c>
      <c r="H30" s="274">
        <f t="shared" si="4"/>
        <v>3.8538445546828511E-2</v>
      </c>
      <c r="I30" s="280">
        <f t="shared" ref="I30:J30" si="7">I12+I18+I24</f>
        <v>39364.084447999994</v>
      </c>
      <c r="J30" s="113">
        <f t="shared" si="7"/>
        <v>427883.08844800002</v>
      </c>
      <c r="K30" s="274">
        <f>I30/$I$32</f>
        <v>0.36215198501182216</v>
      </c>
    </row>
    <row r="31" spans="1:20" ht="11.1" customHeight="1">
      <c r="A31" s="412"/>
      <c r="B31" s="412"/>
      <c r="C31" s="135" t="s">
        <v>90</v>
      </c>
      <c r="D31" s="280">
        <f>D25</f>
        <v>15</v>
      </c>
      <c r="E31" s="113">
        <f>E13+E19+E25</f>
        <v>416.88099999999997</v>
      </c>
      <c r="F31" s="113">
        <f t="shared" si="3"/>
        <v>4562.4822760000006</v>
      </c>
      <c r="G31" s="274">
        <f>E31/$E$32</f>
        <v>3.6925063261163279E-3</v>
      </c>
      <c r="H31" s="274">
        <f t="shared" si="4"/>
        <v>3.4090063452217344E-2</v>
      </c>
      <c r="I31" s="280">
        <f>I13+I19+I25</f>
        <v>403.13799999999998</v>
      </c>
      <c r="J31" s="113">
        <f t="shared" ref="J31" si="8">J13+J19+J25</f>
        <v>4387.3547170000002</v>
      </c>
      <c r="K31" s="274">
        <f>I31/$I$32</f>
        <v>3.7088942618888664E-3</v>
      </c>
    </row>
    <row r="32" spans="1:20" ht="11.1" customHeight="1">
      <c r="A32" s="417"/>
      <c r="B32" s="417"/>
      <c r="C32" s="285" t="s">
        <v>0</v>
      </c>
      <c r="D32" s="288">
        <f>SUM(D27:D31)</f>
        <v>118400</v>
      </c>
      <c r="E32" s="286">
        <f>SUM(E27:E31)</f>
        <v>112899.19723399999</v>
      </c>
      <c r="F32" s="286">
        <f>SUM(F27:F31)</f>
        <v>1235252.202146</v>
      </c>
      <c r="G32" s="287">
        <f>SUM(G27:G31)</f>
        <v>1.0000000000000002</v>
      </c>
      <c r="H32" s="287">
        <f>(E32-I32)/I32</f>
        <v>3.8679521139267425E-2</v>
      </c>
      <c r="I32" s="288">
        <f>SUM(I27:I31)</f>
        <v>108694.929414</v>
      </c>
      <c r="J32" s="286">
        <f>SUM(J27:J31)</f>
        <v>1181707.3267389999</v>
      </c>
      <c r="K32" s="287">
        <f>SUM(K27:K31)</f>
        <v>1</v>
      </c>
    </row>
    <row r="33" spans="1:11" ht="9.9499999999999993" customHeight="1">
      <c r="A33" s="324"/>
      <c r="B33" s="325"/>
      <c r="C33" s="326"/>
      <c r="D33" s="327"/>
      <c r="E33" s="327"/>
      <c r="F33" s="327"/>
      <c r="G33" s="328"/>
      <c r="H33" s="329"/>
      <c r="I33" s="327"/>
      <c r="J33" s="327"/>
      <c r="K33" s="328"/>
    </row>
    <row r="34" spans="1:11" ht="12.95" customHeight="1">
      <c r="A34" s="501" t="s">
        <v>46</v>
      </c>
      <c r="B34" s="501"/>
      <c r="C34" s="501"/>
      <c r="D34" s="457">
        <f>D4</f>
        <v>2026</v>
      </c>
      <c r="E34" s="320"/>
      <c r="F34" s="309"/>
      <c r="G34" s="309"/>
      <c r="H34" s="309"/>
      <c r="I34" s="457">
        <f>D34-1</f>
        <v>2025</v>
      </c>
      <c r="J34" s="458"/>
      <c r="K34" s="458"/>
    </row>
    <row r="35" spans="1:11" ht="24.95" customHeight="1">
      <c r="A35" s="271"/>
      <c r="B35" s="250"/>
      <c r="C35" s="131"/>
      <c r="D35" s="459"/>
      <c r="E35" s="321"/>
      <c r="F35" s="322"/>
      <c r="G35" s="322"/>
      <c r="H35" s="323"/>
      <c r="I35" s="459"/>
      <c r="J35" s="460"/>
      <c r="K35" s="460"/>
    </row>
    <row r="36" spans="1:11" ht="24.95" customHeight="1">
      <c r="A36" s="114"/>
      <c r="B36" s="115"/>
      <c r="C36" s="319"/>
      <c r="D36" s="330" t="s">
        <v>156</v>
      </c>
      <c r="E36" s="455" t="s">
        <v>59</v>
      </c>
      <c r="F36" s="455"/>
      <c r="G36" s="456" t="s">
        <v>32</v>
      </c>
      <c r="H36" s="456" t="s">
        <v>256</v>
      </c>
      <c r="I36" s="453" t="s">
        <v>59</v>
      </c>
      <c r="J36" s="454"/>
      <c r="K36" s="456" t="s">
        <v>32</v>
      </c>
    </row>
    <row r="37" spans="1:11" ht="24.95" customHeight="1">
      <c r="A37" s="114"/>
      <c r="B37" s="273"/>
      <c r="C37" s="273"/>
      <c r="D37" s="331"/>
      <c r="E37" s="455"/>
      <c r="F37" s="455"/>
      <c r="G37" s="456"/>
      <c r="H37" s="456"/>
      <c r="I37" s="453"/>
      <c r="J37" s="454"/>
      <c r="K37" s="456"/>
    </row>
    <row r="38" spans="1:11" ht="15" customHeight="1">
      <c r="A38" s="500" t="s">
        <v>155</v>
      </c>
      <c r="B38" s="500"/>
      <c r="C38" s="332" t="s">
        <v>180</v>
      </c>
      <c r="D38" s="310"/>
      <c r="E38" s="199" t="s">
        <v>247</v>
      </c>
      <c r="F38" s="199" t="s">
        <v>248</v>
      </c>
      <c r="G38" s="451"/>
      <c r="H38" s="451"/>
      <c r="I38" s="201" t="s">
        <v>247</v>
      </c>
      <c r="J38" s="199" t="s">
        <v>248</v>
      </c>
      <c r="K38" s="451"/>
    </row>
    <row r="39" spans="1:11" ht="11.1" customHeight="1">
      <c r="A39" s="418" t="str">
        <f>'3.1'!D5</f>
        <v>Leden</v>
      </c>
      <c r="B39" s="418"/>
      <c r="C39" s="145" t="s">
        <v>4</v>
      </c>
      <c r="D39" s="279">
        <v>74</v>
      </c>
      <c r="E39" s="275">
        <v>17788.982</v>
      </c>
      <c r="F39" s="275">
        <v>194709.15291999999</v>
      </c>
      <c r="G39" s="276">
        <f>E39/$E$44</f>
        <v>0.2953361446383212</v>
      </c>
      <c r="H39" s="276">
        <f>(E39-I39)/I39</f>
        <v>-3.1938813725770759E-2</v>
      </c>
      <c r="I39" s="279">
        <v>18375.885999999999</v>
      </c>
      <c r="J39" s="275">
        <v>199701.72276999999</v>
      </c>
      <c r="K39" s="276">
        <f>I39/$I$44</f>
        <v>0.330403495365584</v>
      </c>
    </row>
    <row r="40" spans="1:11" ht="11.1" customHeight="1">
      <c r="A40" s="412"/>
      <c r="B40" s="412"/>
      <c r="C40" s="135" t="s">
        <v>5</v>
      </c>
      <c r="D40" s="280">
        <v>260</v>
      </c>
      <c r="E40" s="113">
        <v>4654.549</v>
      </c>
      <c r="F40" s="113">
        <v>50946.77908</v>
      </c>
      <c r="G40" s="274">
        <f t="shared" ref="G40" si="9">E40/$E$44</f>
        <v>7.7275729251407035E-2</v>
      </c>
      <c r="H40" s="274">
        <f>(E40-I40)/I40</f>
        <v>0.10610723031716626</v>
      </c>
      <c r="I40" s="280">
        <v>4208.0450000000001</v>
      </c>
      <c r="J40" s="113">
        <v>45731.539259999998</v>
      </c>
      <c r="K40" s="274">
        <f t="shared" ref="K40:K43" si="10">I40/$I$44</f>
        <v>7.5661808995531918E-2</v>
      </c>
    </row>
    <row r="41" spans="1:11" ht="11.1" customHeight="1">
      <c r="A41" s="412"/>
      <c r="B41" s="412"/>
      <c r="C41" s="135" t="s">
        <v>6</v>
      </c>
      <c r="D41" s="280">
        <v>10718</v>
      </c>
      <c r="E41" s="113">
        <v>12241.772999999999</v>
      </c>
      <c r="F41" s="113">
        <v>133992.38707999999</v>
      </c>
      <c r="G41" s="274">
        <f>E41/$E$44</f>
        <v>0.20324030016768216</v>
      </c>
      <c r="H41" s="274">
        <f t="shared" ref="H41:H43" si="11">(E41-I41)/I41</f>
        <v>0.14174108204590499</v>
      </c>
      <c r="I41" s="280">
        <v>10722.022000000001</v>
      </c>
      <c r="J41" s="113">
        <v>116522.16067</v>
      </c>
      <c r="K41" s="274">
        <f t="shared" si="10"/>
        <v>0.19278491095268493</v>
      </c>
    </row>
    <row r="42" spans="1:11" ht="11.1" customHeight="1">
      <c r="A42" s="412"/>
      <c r="B42" s="412"/>
      <c r="C42" s="135" t="s">
        <v>7</v>
      </c>
      <c r="D42" s="280">
        <v>139797</v>
      </c>
      <c r="E42" s="113">
        <v>25324.7</v>
      </c>
      <c r="F42" s="113">
        <v>277191.7</v>
      </c>
      <c r="G42" s="274">
        <f>E42/$E$44</f>
        <v>0.42044560290870453</v>
      </c>
      <c r="H42" s="274">
        <f t="shared" si="11"/>
        <v>0.14560300370940019</v>
      </c>
      <c r="I42" s="280">
        <v>22106</v>
      </c>
      <c r="J42" s="113">
        <v>240238.8</v>
      </c>
      <c r="K42" s="274">
        <f t="shared" si="10"/>
        <v>0.39747197324534989</v>
      </c>
    </row>
    <row r="43" spans="1:11" ht="11.1" customHeight="1">
      <c r="A43" s="412"/>
      <c r="B43" s="412"/>
      <c r="C43" s="135" t="s">
        <v>90</v>
      </c>
      <c r="D43" s="280">
        <v>11</v>
      </c>
      <c r="E43" s="113">
        <v>222.99600000000001</v>
      </c>
      <c r="F43" s="113">
        <v>2440.80816</v>
      </c>
      <c r="G43" s="274">
        <f>E43/$E$44</f>
        <v>3.7022230338850798E-3</v>
      </c>
      <c r="H43" s="274">
        <f t="shared" si="11"/>
        <v>9.0194429642087209E-2</v>
      </c>
      <c r="I43" s="280">
        <v>204.547</v>
      </c>
      <c r="J43" s="113">
        <v>2222.9385600000001</v>
      </c>
      <c r="K43" s="274">
        <f t="shared" si="10"/>
        <v>3.6778114408493887E-3</v>
      </c>
    </row>
    <row r="44" spans="1:11" ht="11.1" customHeight="1">
      <c r="A44" s="417"/>
      <c r="B44" s="417"/>
      <c r="C44" s="285" t="s">
        <v>0</v>
      </c>
      <c r="D44" s="288">
        <v>150860</v>
      </c>
      <c r="E44" s="286">
        <v>60233</v>
      </c>
      <c r="F44" s="286">
        <v>659280.82724000001</v>
      </c>
      <c r="G44" s="287">
        <f>SUM(G39:G43)</f>
        <v>1</v>
      </c>
      <c r="H44" s="287">
        <f>(E44-I44)/I44</f>
        <v>8.3005942481098383E-2</v>
      </c>
      <c r="I44" s="288">
        <v>55616.499999999993</v>
      </c>
      <c r="J44" s="286">
        <v>604417.16126000008</v>
      </c>
      <c r="K44" s="287">
        <f>SUM(K39:K43)</f>
        <v>1.0000000000000002</v>
      </c>
    </row>
    <row r="45" spans="1:11" ht="11.1" customHeight="1">
      <c r="A45" s="418" t="str">
        <f>'3.1'!E5</f>
        <v>Únor</v>
      </c>
      <c r="B45" s="418"/>
      <c r="C45" s="145" t="s">
        <v>4</v>
      </c>
      <c r="D45" s="279">
        <v>71</v>
      </c>
      <c r="E45" s="275">
        <v>13646.523999999999</v>
      </c>
      <c r="F45" s="275">
        <v>148846.89377</v>
      </c>
      <c r="G45" s="276">
        <f>E45/$E$50</f>
        <v>0.30414215637111675</v>
      </c>
      <c r="H45" s="276">
        <f>(E45-I45)/I45</f>
        <v>-0.1896675234824694</v>
      </c>
      <c r="I45" s="279">
        <v>16840.648000000001</v>
      </c>
      <c r="J45" s="275">
        <v>182609.12447000001</v>
      </c>
      <c r="K45" s="276">
        <f>I45/$I$50</f>
        <v>0.33039600871866609</v>
      </c>
    </row>
    <row r="46" spans="1:11" ht="11.1" customHeight="1">
      <c r="A46" s="412"/>
      <c r="B46" s="412"/>
      <c r="C46" s="135" t="s">
        <v>5</v>
      </c>
      <c r="D46" s="280">
        <v>263</v>
      </c>
      <c r="E46" s="113">
        <v>3745.8980000000001</v>
      </c>
      <c r="F46" s="113">
        <v>40857.776330000001</v>
      </c>
      <c r="G46" s="274">
        <f t="shared" ref="G46:G49" si="12">E46/$E$50</f>
        <v>8.3485398572285041E-2</v>
      </c>
      <c r="H46" s="274">
        <f>(E46-I46)/I46</f>
        <v>-5.0343315563334642E-2</v>
      </c>
      <c r="I46" s="280">
        <v>3944.4760000000001</v>
      </c>
      <c r="J46" s="113">
        <v>42771.212149999999</v>
      </c>
      <c r="K46" s="274">
        <f t="shared" ref="K46:K49" si="13">I46/$I$50</f>
        <v>7.7386519027448891E-2</v>
      </c>
    </row>
    <row r="47" spans="1:11" ht="11.1" customHeight="1">
      <c r="A47" s="412"/>
      <c r="B47" s="412"/>
      <c r="C47" s="135" t="s">
        <v>6</v>
      </c>
      <c r="D47" s="280">
        <v>10713</v>
      </c>
      <c r="E47" s="113">
        <v>9201.7919999999995</v>
      </c>
      <c r="F47" s="113">
        <v>100366.92594</v>
      </c>
      <c r="G47" s="274">
        <f t="shared" si="12"/>
        <v>0.20508173813041994</v>
      </c>
      <c r="H47" s="274">
        <f t="shared" ref="H47:H49" si="14">(E47-I47)/I47</f>
        <v>-9.276969809903253E-2</v>
      </c>
      <c r="I47" s="280">
        <v>10142.73</v>
      </c>
      <c r="J47" s="113">
        <v>109980.88033</v>
      </c>
      <c r="K47" s="274">
        <f t="shared" si="13"/>
        <v>0.19898981972137153</v>
      </c>
    </row>
    <row r="48" spans="1:11" ht="11.1" customHeight="1">
      <c r="A48" s="412"/>
      <c r="B48" s="412"/>
      <c r="C48" s="135" t="s">
        <v>7</v>
      </c>
      <c r="D48" s="280">
        <v>139662</v>
      </c>
      <c r="E48" s="113">
        <v>18081.099999999999</v>
      </c>
      <c r="F48" s="113">
        <v>197216</v>
      </c>
      <c r="G48" s="274">
        <f t="shared" si="12"/>
        <v>0.40297622629482777</v>
      </c>
      <c r="H48" s="274">
        <f t="shared" si="14"/>
        <v>-8.9044512179761767E-2</v>
      </c>
      <c r="I48" s="280">
        <v>19848.5</v>
      </c>
      <c r="J48" s="113">
        <v>215225</v>
      </c>
      <c r="K48" s="274">
        <f t="shared" si="13"/>
        <v>0.38940693844158752</v>
      </c>
    </row>
    <row r="49" spans="1:11" ht="11.1" customHeight="1">
      <c r="A49" s="412"/>
      <c r="B49" s="412"/>
      <c r="C49" s="135" t="s">
        <v>90</v>
      </c>
      <c r="D49" s="280">
        <v>11</v>
      </c>
      <c r="E49" s="113">
        <v>193.58600000000001</v>
      </c>
      <c r="F49" s="113">
        <v>2111.50378</v>
      </c>
      <c r="G49" s="274">
        <f t="shared" si="12"/>
        <v>4.3144806313504458E-3</v>
      </c>
      <c r="H49" s="274">
        <f t="shared" si="14"/>
        <v>-5.9564766413687398E-3</v>
      </c>
      <c r="I49" s="280">
        <v>194.74600000000001</v>
      </c>
      <c r="J49" s="113">
        <v>2111.6916099999999</v>
      </c>
      <c r="K49" s="274">
        <f t="shared" si="13"/>
        <v>3.8207140909260347E-3</v>
      </c>
    </row>
    <row r="50" spans="1:11" ht="11.1" customHeight="1">
      <c r="A50" s="417"/>
      <c r="B50" s="417"/>
      <c r="C50" s="285" t="s">
        <v>0</v>
      </c>
      <c r="D50" s="288">
        <v>150720</v>
      </c>
      <c r="E50" s="286">
        <v>44868.9</v>
      </c>
      <c r="F50" s="286">
        <v>489399.09982</v>
      </c>
      <c r="G50" s="287">
        <f>SUM(G45:G49)</f>
        <v>0.99999999999999989</v>
      </c>
      <c r="H50" s="287">
        <f t="shared" ref="H50" si="15">(E50-I50)/I50</f>
        <v>-0.11971882105742268</v>
      </c>
      <c r="I50" s="288">
        <v>50971.1</v>
      </c>
      <c r="J50" s="286">
        <v>552697.90856000001</v>
      </c>
      <c r="K50" s="287">
        <f>SUM(K45:K49)</f>
        <v>1.0000000000000002</v>
      </c>
    </row>
    <row r="51" spans="1:11" ht="11.1" customHeight="1">
      <c r="A51" s="418" t="str">
        <f>'3.1'!F5</f>
        <v>Březen</v>
      </c>
      <c r="B51" s="418"/>
      <c r="C51" s="145" t="s">
        <v>4</v>
      </c>
      <c r="D51" s="279">
        <v>72</v>
      </c>
      <c r="E51" s="275">
        <v>12141.291999999999</v>
      </c>
      <c r="F51" s="275">
        <v>133241.85959000001</v>
      </c>
      <c r="G51" s="276">
        <f>E51/$E$56</f>
        <v>0.3490913377631204</v>
      </c>
      <c r="H51" s="276">
        <f>(E51-I51)/I51</f>
        <v>-7.5467482686658455E-2</v>
      </c>
      <c r="I51" s="279">
        <v>13132.358</v>
      </c>
      <c r="J51" s="275">
        <v>143115.70058999999</v>
      </c>
      <c r="K51" s="276">
        <f>I51/$I$56</f>
        <v>0.35625540526609911</v>
      </c>
    </row>
    <row r="52" spans="1:11" ht="11.1" customHeight="1">
      <c r="A52" s="412"/>
      <c r="B52" s="412"/>
      <c r="C52" s="135" t="s">
        <v>5</v>
      </c>
      <c r="D52" s="280">
        <v>264</v>
      </c>
      <c r="E52" s="113">
        <v>2791.373</v>
      </c>
      <c r="F52" s="113">
        <v>30633.169379999999</v>
      </c>
      <c r="G52" s="274">
        <f t="shared" ref="G52:G55" si="16">E52/$E$56</f>
        <v>8.0258685382565115E-2</v>
      </c>
      <c r="H52" s="274">
        <f t="shared" ref="H52:H55" si="17">(E52-I52)/I52</f>
        <v>-1.2464772239215572E-2</v>
      </c>
      <c r="I52" s="280">
        <v>2826.6060000000002</v>
      </c>
      <c r="J52" s="113">
        <v>30804.561570000002</v>
      </c>
      <c r="K52" s="274">
        <f t="shared" ref="K52:K55" si="18">I52/$I$56</f>
        <v>7.6680339209271281E-2</v>
      </c>
    </row>
    <row r="53" spans="1:11" ht="11.1" customHeight="1">
      <c r="A53" s="412"/>
      <c r="B53" s="412"/>
      <c r="C53" s="135" t="s">
        <v>6</v>
      </c>
      <c r="D53" s="280">
        <v>10704</v>
      </c>
      <c r="E53" s="113">
        <v>6643.3829999999998</v>
      </c>
      <c r="F53" s="113">
        <v>72906.437479999993</v>
      </c>
      <c r="G53" s="274">
        <f t="shared" si="16"/>
        <v>0.19101323473175441</v>
      </c>
      <c r="H53" s="274">
        <f t="shared" si="17"/>
        <v>-6.5177293687390669E-2</v>
      </c>
      <c r="I53" s="280">
        <v>7106.57</v>
      </c>
      <c r="J53" s="113">
        <v>77446.688529999999</v>
      </c>
      <c r="K53" s="274">
        <f t="shared" si="18"/>
        <v>0.19278746249545603</v>
      </c>
    </row>
    <row r="54" spans="1:11" ht="10.5" customHeight="1">
      <c r="A54" s="412"/>
      <c r="B54" s="412"/>
      <c r="C54" s="135" t="s">
        <v>7</v>
      </c>
      <c r="D54" s="280">
        <v>139535</v>
      </c>
      <c r="E54" s="113">
        <v>12981.6</v>
      </c>
      <c r="F54" s="113">
        <v>142464</v>
      </c>
      <c r="G54" s="274">
        <f t="shared" si="16"/>
        <v>0.37325221321633018</v>
      </c>
      <c r="H54" s="274">
        <f t="shared" si="17"/>
        <v>-4.4726036469601257E-2</v>
      </c>
      <c r="I54" s="280">
        <v>13589.4</v>
      </c>
      <c r="J54" s="113">
        <v>148096.70000000001</v>
      </c>
      <c r="K54" s="274">
        <f t="shared" si="18"/>
        <v>0.36865406839526665</v>
      </c>
    </row>
    <row r="55" spans="1:11" ht="11.1" customHeight="1">
      <c r="A55" s="412"/>
      <c r="B55" s="412"/>
      <c r="C55" s="135" t="s">
        <v>90</v>
      </c>
      <c r="D55" s="280">
        <v>11</v>
      </c>
      <c r="E55" s="113">
        <v>222.05199999999999</v>
      </c>
      <c r="F55" s="113">
        <v>2436.8566099999998</v>
      </c>
      <c r="G55" s="274">
        <f t="shared" si="16"/>
        <v>6.3845289062297826E-3</v>
      </c>
      <c r="H55" s="274">
        <f t="shared" si="17"/>
        <v>7.133828027751779E-2</v>
      </c>
      <c r="I55" s="280">
        <v>207.26599999999999</v>
      </c>
      <c r="J55" s="113">
        <v>2258.7765399999998</v>
      </c>
      <c r="K55" s="274">
        <f t="shared" si="18"/>
        <v>5.6227246339068193E-3</v>
      </c>
    </row>
    <row r="56" spans="1:11" ht="11.1" customHeight="1">
      <c r="A56" s="417"/>
      <c r="B56" s="417"/>
      <c r="C56" s="285" t="s">
        <v>0</v>
      </c>
      <c r="D56" s="288">
        <v>150586</v>
      </c>
      <c r="E56" s="286">
        <v>34779.700000000004</v>
      </c>
      <c r="F56" s="286">
        <v>381682.32306000002</v>
      </c>
      <c r="G56" s="287">
        <f>SUM(G51:G55)</f>
        <v>0.99999999999999978</v>
      </c>
      <c r="H56" s="287">
        <f>(E56-I56)/I56</f>
        <v>-5.6494186456586958E-2</v>
      </c>
      <c r="I56" s="288">
        <v>36862.200000000004</v>
      </c>
      <c r="J56" s="286">
        <v>401722.42722999997</v>
      </c>
      <c r="K56" s="287">
        <f>SUM(K51:K55)</f>
        <v>0.99999999999999989</v>
      </c>
    </row>
    <row r="57" spans="1:11" ht="11.1" customHeight="1">
      <c r="A57" s="476" t="str">
        <f>'3.1'!G5</f>
        <v>I. čtvrtletí</v>
      </c>
      <c r="B57" s="418"/>
      <c r="C57" s="145" t="s">
        <v>4</v>
      </c>
      <c r="D57" s="279">
        <f>D51</f>
        <v>72</v>
      </c>
      <c r="E57" s="275">
        <f>E39+E45+E51</f>
        <v>43576.798000000003</v>
      </c>
      <c r="F57" s="275">
        <f>F39+F45+F51</f>
        <v>476797.90628</v>
      </c>
      <c r="G57" s="276">
        <f>E57/$E$62</f>
        <v>0.31152630510374496</v>
      </c>
      <c r="H57" s="276">
        <f>(E57-I57)/I57</f>
        <v>-9.8701207051445916E-2</v>
      </c>
      <c r="I57" s="279">
        <f>I39+I45+I51</f>
        <v>48348.892</v>
      </c>
      <c r="J57" s="275">
        <f>J39+J45+J51</f>
        <v>525426.54783000005</v>
      </c>
      <c r="K57" s="276">
        <f>I57/$I$62</f>
        <v>0.33704398333075397</v>
      </c>
    </row>
    <row r="58" spans="1:11" ht="11.1" customHeight="1">
      <c r="A58" s="412"/>
      <c r="B58" s="412"/>
      <c r="C58" s="135" t="s">
        <v>5</v>
      </c>
      <c r="D58" s="280">
        <f>D52</f>
        <v>264</v>
      </c>
      <c r="E58" s="113">
        <f t="shared" ref="E58:F59" si="19">E40+E46+E52</f>
        <v>11191.82</v>
      </c>
      <c r="F58" s="113">
        <f t="shared" si="19"/>
        <v>122437.72479000001</v>
      </c>
      <c r="G58" s="274">
        <f t="shared" ref="G58:G61" si="20">E58/$E$62</f>
        <v>8.0009236382769439E-2</v>
      </c>
      <c r="H58" s="274">
        <f t="shared" ref="H58:H61" si="21">(E58-I58)/I58</f>
        <v>1.9372487448227831E-2</v>
      </c>
      <c r="I58" s="280">
        <f t="shared" ref="I58:J58" si="22">I40+I46+I52</f>
        <v>10979.127</v>
      </c>
      <c r="J58" s="113">
        <f t="shared" si="22"/>
        <v>119307.31298</v>
      </c>
      <c r="K58" s="274">
        <f t="shared" ref="K58:K61" si="23">I58/$I$62</f>
        <v>7.6536370214527999E-2</v>
      </c>
    </row>
    <row r="59" spans="1:11" ht="11.1" customHeight="1">
      <c r="A59" s="412"/>
      <c r="B59" s="412"/>
      <c r="C59" s="135" t="s">
        <v>6</v>
      </c>
      <c r="D59" s="280">
        <f>D53</f>
        <v>10704</v>
      </c>
      <c r="E59" s="113">
        <f>E41+E47+E53</f>
        <v>28086.947999999997</v>
      </c>
      <c r="F59" s="113">
        <f t="shared" si="19"/>
        <v>307265.75049999997</v>
      </c>
      <c r="G59" s="274">
        <f t="shared" si="20"/>
        <v>0.20079086884908381</v>
      </c>
      <c r="H59" s="274">
        <f t="shared" si="21"/>
        <v>4.1337338292411268E-3</v>
      </c>
      <c r="I59" s="280">
        <f>I41+I47+I53</f>
        <v>27971.322</v>
      </c>
      <c r="J59" s="113">
        <f t="shared" ref="J59" si="24">J41+J47+J53</f>
        <v>303949.72953000001</v>
      </c>
      <c r="K59" s="274">
        <f t="shared" si="23"/>
        <v>0.19499031717018775</v>
      </c>
    </row>
    <row r="60" spans="1:11" ht="11.1" customHeight="1">
      <c r="A60" s="412"/>
      <c r="B60" s="412"/>
      <c r="C60" s="135" t="s">
        <v>7</v>
      </c>
      <c r="D60" s="280">
        <f>D54</f>
        <v>139535</v>
      </c>
      <c r="E60" s="113">
        <f t="shared" ref="E60:F61" si="25">E42+E48+E54</f>
        <v>56387.4</v>
      </c>
      <c r="F60" s="113">
        <f t="shared" si="25"/>
        <v>616871.69999999995</v>
      </c>
      <c r="G60" s="274">
        <f t="shared" si="20"/>
        <v>0.4031080570997187</v>
      </c>
      <c r="H60" s="274">
        <f t="shared" si="21"/>
        <v>1.5186186061835773E-2</v>
      </c>
      <c r="I60" s="280">
        <f t="shared" ref="I60:J60" si="26">I42+I48+I54</f>
        <v>55543.9</v>
      </c>
      <c r="J60" s="113">
        <f t="shared" si="26"/>
        <v>603560.5</v>
      </c>
      <c r="K60" s="274">
        <f t="shared" si="23"/>
        <v>0.38720095810520472</v>
      </c>
    </row>
    <row r="61" spans="1:11" ht="11.1" customHeight="1">
      <c r="A61" s="412"/>
      <c r="B61" s="412"/>
      <c r="C61" s="135" t="s">
        <v>90</v>
      </c>
      <c r="D61" s="280">
        <f>D55</f>
        <v>11</v>
      </c>
      <c r="E61" s="113">
        <f>E43+E49+E55</f>
        <v>638.63400000000001</v>
      </c>
      <c r="F61" s="113">
        <f t="shared" si="25"/>
        <v>6989.1685499999994</v>
      </c>
      <c r="G61" s="274">
        <f t="shared" si="20"/>
        <v>4.5655325646832756E-3</v>
      </c>
      <c r="H61" s="274">
        <f t="shared" si="21"/>
        <v>5.2880263914969604E-2</v>
      </c>
      <c r="I61" s="280">
        <f>I43+I49+I55</f>
        <v>606.55899999999997</v>
      </c>
      <c r="J61" s="113">
        <f t="shared" ref="J61" si="27">J43+J49+J55</f>
        <v>6593.4067100000002</v>
      </c>
      <c r="K61" s="274">
        <f t="shared" si="23"/>
        <v>4.2283711793254493E-3</v>
      </c>
    </row>
    <row r="62" spans="1:11" ht="11.1" customHeight="1">
      <c r="A62" s="417"/>
      <c r="B62" s="417"/>
      <c r="C62" s="285" t="s">
        <v>0</v>
      </c>
      <c r="D62" s="288">
        <f>SUM(D57:D61)</f>
        <v>150586</v>
      </c>
      <c r="E62" s="286">
        <f>SUM(E57:E61)</f>
        <v>139881.59999999998</v>
      </c>
      <c r="F62" s="286">
        <f>SUM(F57:F61)</f>
        <v>1530362.25012</v>
      </c>
      <c r="G62" s="287">
        <f>SUM(G57:G61)</f>
        <v>1</v>
      </c>
      <c r="H62" s="287">
        <f>(E62-I62)/I62</f>
        <v>-2.4874206865398488E-2</v>
      </c>
      <c r="I62" s="288">
        <f>SUM(I57:I61)</f>
        <v>143449.80000000002</v>
      </c>
      <c r="J62" s="286">
        <f>SUM(J57:J61)</f>
        <v>1558837.4970500001</v>
      </c>
      <c r="K62" s="287">
        <f>SUM(K57:K61)</f>
        <v>0.99999999999999989</v>
      </c>
    </row>
    <row r="63" spans="1:11" ht="1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</row>
    <row r="64" spans="1:11" ht="1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</row>
    <row r="65" spans="1:11" ht="1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</row>
    <row r="66" spans="1:11" ht="1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</row>
    <row r="67" spans="1:11" ht="1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</row>
    <row r="68" spans="1:11" ht="1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</row>
    <row r="70" spans="1:11" ht="1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</row>
    <row r="71" spans="1:11" ht="1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</row>
    <row r="72" spans="1:11" ht="1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</row>
    <row r="73" spans="1:11" ht="1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</row>
    <row r="74" spans="1:11" ht="1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</row>
    <row r="75" spans="1:11" ht="1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</row>
    <row r="76" spans="1:11" ht="1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</row>
    <row r="77" spans="1:11" ht="1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</row>
    <row r="78" spans="1:11" ht="1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</row>
    <row r="79" spans="1:11" ht="1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</row>
    <row r="80" spans="1:11" ht="1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</row>
    <row r="81" spans="1:11" ht="1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</row>
    <row r="82" spans="1:11" ht="1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</row>
    <row r="83" spans="1:11" ht="1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</row>
    <row r="84" spans="1:11" ht="1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</row>
    <row r="85" spans="1:11" ht="1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</row>
    <row r="86" spans="1:11" ht="1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</row>
    <row r="87" spans="1:11" ht="1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</row>
    <row r="88" spans="1:11" ht="1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</row>
    <row r="89" spans="1:11" ht="1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</row>
    <row r="90" spans="1:11" ht="1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</row>
    <row r="91" spans="1:11" ht="1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</row>
    <row r="92" spans="1:11" ht="1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</row>
    <row r="93" spans="1:11" ht="1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</row>
    <row r="94" spans="1:11" ht="1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</row>
    <row r="95" spans="1:11" ht="1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</row>
    <row r="96" spans="1:11" ht="1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</row>
    <row r="97" spans="1:11" ht="1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1" ht="1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</row>
    <row r="99" spans="1:11" ht="1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</row>
    <row r="100" spans="1:11" ht="1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</row>
    <row r="101" spans="1:11" ht="1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</row>
    <row r="102" spans="1:11" ht="1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</row>
    <row r="103" spans="1:11" ht="1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28">
    <mergeCell ref="A1:K1"/>
    <mergeCell ref="A3:C3"/>
    <mergeCell ref="A9:B14"/>
    <mergeCell ref="A15:B20"/>
    <mergeCell ref="A21:B26"/>
    <mergeCell ref="H6:H8"/>
    <mergeCell ref="A8:B8"/>
    <mergeCell ref="E6:F7"/>
    <mergeCell ref="I6:J7"/>
    <mergeCell ref="G6:G8"/>
    <mergeCell ref="K6:K8"/>
    <mergeCell ref="A4:C4"/>
    <mergeCell ref="D4:D5"/>
    <mergeCell ref="I4:K5"/>
    <mergeCell ref="A27:B32"/>
    <mergeCell ref="H36:H38"/>
    <mergeCell ref="A38:B38"/>
    <mergeCell ref="E36:F37"/>
    <mergeCell ref="G36:G38"/>
    <mergeCell ref="A34:C34"/>
    <mergeCell ref="D34:D35"/>
    <mergeCell ref="I34:K35"/>
    <mergeCell ref="A51:B56"/>
    <mergeCell ref="I36:J37"/>
    <mergeCell ref="K36:K38"/>
    <mergeCell ref="A57:B62"/>
    <mergeCell ref="A39:B44"/>
    <mergeCell ref="A45:B5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67" customWidth="1"/>
    <col min="2" max="2" width="10.28515625" style="67" customWidth="1"/>
    <col min="3" max="3" width="10" style="67" customWidth="1"/>
    <col min="4" max="4" width="10.7109375" style="67" customWidth="1"/>
    <col min="5" max="6" width="8.5703125" style="67" customWidth="1"/>
    <col min="7" max="10" width="6.7109375" style="67" customWidth="1"/>
    <col min="11" max="11" width="8.140625" style="67" customWidth="1"/>
    <col min="12" max="13" width="9.140625" style="67"/>
    <col min="14" max="14" width="11.140625" style="67" customWidth="1"/>
    <col min="15" max="16384" width="9.140625" style="67"/>
  </cols>
  <sheetData>
    <row r="1" spans="1:11" s="93" customFormat="1" ht="18">
      <c r="A1" s="485" t="str">
        <f>"6.8 Spotřeba zemního plynu a teplota ovzduší podle krajů: "&amp;LOWER(A3)</f>
        <v>6.8 Spotřeba zemního plynu a teplota ovzduší podle krajů: leden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6" customHeight="1">
      <c r="A2" s="489"/>
      <c r="B2" s="489"/>
      <c r="C2" s="267"/>
      <c r="D2" s="268"/>
      <c r="E2" s="269"/>
      <c r="F2" s="269"/>
      <c r="G2" s="269"/>
      <c r="H2" s="269"/>
    </row>
    <row r="3" spans="1:11" ht="20.100000000000001" customHeight="1">
      <c r="A3" s="447" t="str">
        <f>'3.1'!D5</f>
        <v>Leden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0.100000000000001" customHeight="1">
      <c r="A4" s="112"/>
      <c r="B4" s="230">
        <f>'3.1'!A4</f>
        <v>2026</v>
      </c>
      <c r="C4" s="503" t="s">
        <v>59</v>
      </c>
      <c r="D4" s="504"/>
      <c r="E4" s="504"/>
      <c r="F4" s="505"/>
      <c r="G4" s="506" t="s">
        <v>182</v>
      </c>
      <c r="H4" s="506"/>
      <c r="I4" s="506"/>
      <c r="J4" s="506"/>
      <c r="K4" s="506"/>
    </row>
    <row r="5" spans="1:11" ht="49.5" customHeight="1">
      <c r="A5" s="250"/>
      <c r="B5" s="456" t="s">
        <v>181</v>
      </c>
      <c r="C5" s="312"/>
      <c r="D5" s="313"/>
      <c r="E5" s="456" t="s">
        <v>265</v>
      </c>
      <c r="F5" s="490" t="s">
        <v>268</v>
      </c>
      <c r="G5" s="335" t="s">
        <v>61</v>
      </c>
      <c r="H5" s="335" t="s">
        <v>170</v>
      </c>
      <c r="I5" s="335" t="s">
        <v>171</v>
      </c>
      <c r="J5" s="335" t="s">
        <v>270</v>
      </c>
      <c r="K5" s="335" t="s">
        <v>271</v>
      </c>
    </row>
    <row r="6" spans="1:11" ht="15" customHeight="1">
      <c r="A6" s="199" t="s">
        <v>183</v>
      </c>
      <c r="B6" s="451"/>
      <c r="C6" s="201" t="s">
        <v>247</v>
      </c>
      <c r="D6" s="199" t="s">
        <v>248</v>
      </c>
      <c r="E6" s="451"/>
      <c r="F6" s="491"/>
      <c r="G6" s="199" t="s">
        <v>218</v>
      </c>
      <c r="H6" s="199" t="s">
        <v>218</v>
      </c>
      <c r="I6" s="199" t="s">
        <v>218</v>
      </c>
      <c r="J6" s="199" t="s">
        <v>218</v>
      </c>
      <c r="K6" s="199" t="s">
        <v>218</v>
      </c>
    </row>
    <row r="7" spans="1:11" ht="14.1" customHeight="1">
      <c r="A7" s="135" t="s">
        <v>8</v>
      </c>
      <c r="B7" s="113">
        <f>'6.1'!D14</f>
        <v>101514</v>
      </c>
      <c r="C7" s="280">
        <f>'6.1'!E14</f>
        <v>43025.471071999993</v>
      </c>
      <c r="D7" s="113">
        <f>'6.1'!F14</f>
        <v>471395.67250400002</v>
      </c>
      <c r="E7" s="274">
        <f>D7/$D$21</f>
        <v>3.5396298718586343E-2</v>
      </c>
      <c r="F7" s="299">
        <f>'6.1'!H14</f>
        <v>0.15483916804945486</v>
      </c>
      <c r="G7" s="293">
        <v>-3.0322580645161286</v>
      </c>
      <c r="H7" s="294">
        <v>2.2999999999999998</v>
      </c>
      <c r="I7" s="294">
        <v>-8.8000000000000007</v>
      </c>
      <c r="J7" s="294">
        <v>-1.899999999999999</v>
      </c>
      <c r="K7" s="293">
        <v>-1.1322580645161295</v>
      </c>
    </row>
    <row r="8" spans="1:11" ht="14.1" customHeight="1">
      <c r="A8" s="135" t="s">
        <v>9</v>
      </c>
      <c r="B8" s="113">
        <f>'6.1'!D44</f>
        <v>371017</v>
      </c>
      <c r="C8" s="280">
        <f>'6.1'!E44</f>
        <v>154255.5</v>
      </c>
      <c r="D8" s="113">
        <f>'6.1'!F44</f>
        <v>1688401.9411199999</v>
      </c>
      <c r="E8" s="274">
        <f t="shared" ref="E8:E20" si="0">D8/$D$21</f>
        <v>0.12677922804736275</v>
      </c>
      <c r="F8" s="299">
        <f>'6.1'!H44</f>
        <v>9.297579950897554E-2</v>
      </c>
      <c r="G8" s="293">
        <v>-2.2741935483870956</v>
      </c>
      <c r="H8" s="294">
        <v>3.7</v>
      </c>
      <c r="I8" s="294">
        <v>-7.9</v>
      </c>
      <c r="J8" s="294">
        <v>-1.7000000000000008</v>
      </c>
      <c r="K8" s="293">
        <v>-0.5741935483870948</v>
      </c>
    </row>
    <row r="9" spans="1:11" ht="14.1" customHeight="1">
      <c r="A9" s="135" t="s">
        <v>10</v>
      </c>
      <c r="B9" s="113">
        <f>'6.2'!D14</f>
        <v>78837</v>
      </c>
      <c r="C9" s="280">
        <f>'6.2'!E14</f>
        <v>41486.9</v>
      </c>
      <c r="D9" s="113">
        <f>'6.2'!F14</f>
        <v>454093.72933999996</v>
      </c>
      <c r="E9" s="274">
        <f t="shared" si="0"/>
        <v>3.4097125254833868E-2</v>
      </c>
      <c r="F9" s="299">
        <f>'6.2'!H14</f>
        <v>0.40440275417560928</v>
      </c>
      <c r="G9" s="293">
        <v>-3.9483870967741943</v>
      </c>
      <c r="H9" s="294">
        <v>1.8</v>
      </c>
      <c r="I9" s="294">
        <v>-10.3</v>
      </c>
      <c r="J9" s="294">
        <v>-2</v>
      </c>
      <c r="K9" s="293">
        <v>-1.9483870967741943</v>
      </c>
    </row>
    <row r="10" spans="1:11" ht="14.1" customHeight="1">
      <c r="A10" s="135" t="s">
        <v>89</v>
      </c>
      <c r="B10" s="113">
        <f>'6.2'!D44</f>
        <v>113555</v>
      </c>
      <c r="C10" s="280">
        <f>'6.2'!E44</f>
        <v>53080.600000000006</v>
      </c>
      <c r="D10" s="113">
        <f>'6.2'!F44</f>
        <v>580993.41591999994</v>
      </c>
      <c r="E10" s="274">
        <f t="shared" si="0"/>
        <v>4.3625806733008754E-2</v>
      </c>
      <c r="F10" s="299">
        <f>'6.2'!H44</f>
        <v>0.21204357644716326</v>
      </c>
      <c r="G10" s="293">
        <v>-3.064516129032258</v>
      </c>
      <c r="H10" s="294">
        <v>3.1</v>
      </c>
      <c r="I10" s="294">
        <v>-11.9</v>
      </c>
      <c r="J10" s="294">
        <v>-2.2999999999999985</v>
      </c>
      <c r="K10" s="293">
        <v>-0.76451612903225952</v>
      </c>
    </row>
    <row r="11" spans="1:11" ht="14.1" customHeight="1">
      <c r="A11" s="135" t="s">
        <v>11</v>
      </c>
      <c r="B11" s="113">
        <f>'6.3'!D14</f>
        <v>90397</v>
      </c>
      <c r="C11" s="280">
        <f>'6.3'!E14</f>
        <v>47071.057999999997</v>
      </c>
      <c r="D11" s="113">
        <f>'6.3'!F14</f>
        <v>515207.20811000001</v>
      </c>
      <c r="E11" s="274">
        <f t="shared" si="0"/>
        <v>3.8686032358677826E-2</v>
      </c>
      <c r="F11" s="299">
        <f>'6.3'!H14</f>
        <v>0.12914894739872174</v>
      </c>
      <c r="G11" s="293">
        <v>-2.2193548387096773</v>
      </c>
      <c r="H11" s="294">
        <v>3.7</v>
      </c>
      <c r="I11" s="294">
        <v>-8.8000000000000007</v>
      </c>
      <c r="J11" s="294">
        <v>-1.7000000000000008</v>
      </c>
      <c r="K11" s="293">
        <v>-0.51935483870967647</v>
      </c>
    </row>
    <row r="12" spans="1:11" ht="14.1" customHeight="1">
      <c r="A12" s="135" t="s">
        <v>12</v>
      </c>
      <c r="B12" s="113">
        <f>'6.3'!D44</f>
        <v>352916</v>
      </c>
      <c r="C12" s="280">
        <f>'6.3'!E44</f>
        <v>129953.65199999999</v>
      </c>
      <c r="D12" s="113">
        <f>'6.3'!F44</f>
        <v>1422160.1530279999</v>
      </c>
      <c r="E12" s="274">
        <f t="shared" si="0"/>
        <v>0.10678758533113686</v>
      </c>
      <c r="F12" s="299">
        <f>'6.3'!H44</f>
        <v>0.18869537191559005</v>
      </c>
      <c r="G12" s="293">
        <v>-2.5612903225806449</v>
      </c>
      <c r="H12" s="294">
        <v>2.2000000000000002</v>
      </c>
      <c r="I12" s="294">
        <v>-8.6</v>
      </c>
      <c r="J12" s="294">
        <v>-1.899999999999999</v>
      </c>
      <c r="K12" s="293">
        <v>-0.66129032258064591</v>
      </c>
    </row>
    <row r="13" spans="1:11" ht="14.1" customHeight="1">
      <c r="A13" s="135" t="s">
        <v>13</v>
      </c>
      <c r="B13" s="113">
        <f>'6.4'!D14</f>
        <v>178882</v>
      </c>
      <c r="C13" s="280">
        <f>'6.4'!E14</f>
        <v>76169.799999999988</v>
      </c>
      <c r="D13" s="113">
        <f>'6.4'!F14</f>
        <v>833715.72914000007</v>
      </c>
      <c r="E13" s="274">
        <f t="shared" si="0"/>
        <v>6.2602295091652646E-2</v>
      </c>
      <c r="F13" s="299">
        <f>'6.4'!H14</f>
        <v>0.14133775265106596</v>
      </c>
      <c r="G13" s="293">
        <v>-2.9903225806451617</v>
      </c>
      <c r="H13" s="294">
        <v>2.2999999999999998</v>
      </c>
      <c r="I13" s="294">
        <v>-10.1</v>
      </c>
      <c r="J13" s="294">
        <v>-2.5</v>
      </c>
      <c r="K13" s="293">
        <v>-0.49032258064516165</v>
      </c>
    </row>
    <row r="14" spans="1:11" ht="14.1" customHeight="1">
      <c r="A14" s="135" t="s">
        <v>14</v>
      </c>
      <c r="B14" s="113">
        <f>'6.4'!D44</f>
        <v>132715</v>
      </c>
      <c r="C14" s="280">
        <f>'6.4'!E44</f>
        <v>51753.862000000001</v>
      </c>
      <c r="D14" s="113">
        <f>'6.4'!F44</f>
        <v>566474.96141300001</v>
      </c>
      <c r="E14" s="274">
        <f t="shared" si="0"/>
        <v>4.253564069492826E-2</v>
      </c>
      <c r="F14" s="299">
        <f>'6.4'!H44</f>
        <v>0.16173745512015603</v>
      </c>
      <c r="G14" s="293">
        <v>-2.6129032258064515</v>
      </c>
      <c r="H14" s="294">
        <v>3.5</v>
      </c>
      <c r="I14" s="294">
        <v>-10.1</v>
      </c>
      <c r="J14" s="294">
        <v>-1.6000000000000008</v>
      </c>
      <c r="K14" s="293">
        <v>-1.0129032258064508</v>
      </c>
    </row>
    <row r="15" spans="1:11" ht="14.1" customHeight="1">
      <c r="A15" s="135" t="s">
        <v>15</v>
      </c>
      <c r="B15" s="113">
        <f>'6.5'!D14</f>
        <v>154334</v>
      </c>
      <c r="C15" s="280">
        <f>'6.5'!E14</f>
        <v>51839.6</v>
      </c>
      <c r="D15" s="113">
        <f>'6.5'!F14</f>
        <v>567410.16197000002</v>
      </c>
      <c r="E15" s="274">
        <f t="shared" si="0"/>
        <v>4.2605863313013664E-2</v>
      </c>
      <c r="F15" s="299">
        <f>'6.5'!H14</f>
        <v>0.11934600668503462</v>
      </c>
      <c r="G15" s="293">
        <v>-2.8129032258064508</v>
      </c>
      <c r="H15" s="294">
        <v>2.9</v>
      </c>
      <c r="I15" s="294">
        <v>-9.6999999999999993</v>
      </c>
      <c r="J15" s="294">
        <v>-1.6000000000000008</v>
      </c>
      <c r="K15" s="293">
        <v>-1.21290322580645</v>
      </c>
    </row>
    <row r="16" spans="1:11" ht="14.1" customHeight="1">
      <c r="A16" s="135" t="s">
        <v>1</v>
      </c>
      <c r="B16" s="113">
        <f>'6.5'!D44</f>
        <v>368654</v>
      </c>
      <c r="C16" s="280">
        <f>'6.5'!E44</f>
        <v>125143.39577146299</v>
      </c>
      <c r="D16" s="113">
        <f>'6.5'!F44</f>
        <v>1371588.5356453541</v>
      </c>
      <c r="E16" s="274">
        <f t="shared" si="0"/>
        <v>0.10299024865630135</v>
      </c>
      <c r="F16" s="299">
        <f>'6.5'!H44</f>
        <v>0.17083226582404767</v>
      </c>
      <c r="G16" s="293">
        <v>-1.393548387096774</v>
      </c>
      <c r="H16" s="294">
        <v>3.7</v>
      </c>
      <c r="I16" s="294">
        <v>-6</v>
      </c>
      <c r="J16" s="294">
        <v>-0.60000000000000009</v>
      </c>
      <c r="K16" s="293">
        <v>-0.79354838709677389</v>
      </c>
    </row>
    <row r="17" spans="1:16" ht="14.1" customHeight="1">
      <c r="A17" s="135" t="s">
        <v>16</v>
      </c>
      <c r="B17" s="113">
        <f>'6.6'!D14</f>
        <v>280129</v>
      </c>
      <c r="C17" s="280">
        <f>'6.6'!E14</f>
        <v>157678.928416465</v>
      </c>
      <c r="D17" s="113">
        <f>'6.6'!F14</f>
        <v>1726092.640374701</v>
      </c>
      <c r="E17" s="274">
        <f t="shared" si="0"/>
        <v>0.12960935850368441</v>
      </c>
      <c r="F17" s="299">
        <f>'6.6'!H14</f>
        <v>0.14845775459063787</v>
      </c>
      <c r="G17" s="293">
        <v>-2.2129032258064512</v>
      </c>
      <c r="H17" s="294">
        <v>2.5</v>
      </c>
      <c r="I17" s="294">
        <v>-7.7</v>
      </c>
      <c r="J17" s="294">
        <v>-1</v>
      </c>
      <c r="K17" s="293">
        <v>-1.2129032258064512</v>
      </c>
      <c r="L17" s="68"/>
      <c r="N17" s="68"/>
      <c r="O17" s="68"/>
      <c r="P17" s="68"/>
    </row>
    <row r="18" spans="1:16" ht="14.1" customHeight="1">
      <c r="A18" s="135" t="s">
        <v>17</v>
      </c>
      <c r="B18" s="113">
        <f>'6.6'!D44</f>
        <v>207972</v>
      </c>
      <c r="C18" s="280">
        <f>'6.6'!E44</f>
        <v>176641.04700000002</v>
      </c>
      <c r="D18" s="113">
        <f>'6.6'!F44</f>
        <v>1936069.1084639998</v>
      </c>
      <c r="E18" s="274">
        <f t="shared" si="0"/>
        <v>0.14537613410618946</v>
      </c>
      <c r="F18" s="299">
        <f>'6.6'!H44</f>
        <v>0.45286479774122312</v>
      </c>
      <c r="G18" s="293">
        <v>-2.648387096774194</v>
      </c>
      <c r="H18" s="294">
        <v>2.2999999999999998</v>
      </c>
      <c r="I18" s="294">
        <v>-8.8000000000000007</v>
      </c>
      <c r="J18" s="294">
        <v>-0.80000000000000038</v>
      </c>
      <c r="K18" s="293">
        <v>-1.8483870967741938</v>
      </c>
      <c r="L18" s="68"/>
      <c r="N18" s="68"/>
      <c r="O18" s="68"/>
      <c r="P18" s="68"/>
    </row>
    <row r="19" spans="1:16" ht="14.1" customHeight="1">
      <c r="A19" s="135" t="s">
        <v>18</v>
      </c>
      <c r="B19" s="113">
        <f>'6.7'!D14</f>
        <v>118440</v>
      </c>
      <c r="C19" s="280">
        <f>'6.7'!E14</f>
        <v>47938.414927999998</v>
      </c>
      <c r="D19" s="113">
        <f>'6.7'!F14</f>
        <v>524770.291172</v>
      </c>
      <c r="E19" s="274">
        <f t="shared" si="0"/>
        <v>3.9404107989145842E-2</v>
      </c>
      <c r="F19" s="299">
        <f>'6.7'!H14</f>
        <v>0.1522400783582174</v>
      </c>
      <c r="G19" s="293">
        <v>-3.3451612903225807</v>
      </c>
      <c r="H19" s="294">
        <v>1.9</v>
      </c>
      <c r="I19" s="294">
        <v>-8.5</v>
      </c>
      <c r="J19" s="294">
        <v>-2.5</v>
      </c>
      <c r="K19" s="293">
        <v>-0.84516129032258069</v>
      </c>
      <c r="L19" s="68"/>
      <c r="N19" s="68"/>
      <c r="O19" s="68"/>
      <c r="P19" s="68"/>
    </row>
    <row r="20" spans="1:16" ht="14.1" customHeight="1">
      <c r="A20" s="140" t="s">
        <v>19</v>
      </c>
      <c r="B20" s="277">
        <f>'6.7'!D44</f>
        <v>150860</v>
      </c>
      <c r="C20" s="281">
        <f>'6.7'!E44</f>
        <v>60233</v>
      </c>
      <c r="D20" s="277">
        <f>'6.7'!F44</f>
        <v>659280.82724000001</v>
      </c>
      <c r="E20" s="278">
        <f t="shared" si="0"/>
        <v>4.9504275201477876E-2</v>
      </c>
      <c r="F20" s="300">
        <f>'6.7'!H44</f>
        <v>8.3005942481098383E-2</v>
      </c>
      <c r="G20" s="295">
        <v>-2.3645161290322578</v>
      </c>
      <c r="H20" s="296">
        <v>4.7</v>
      </c>
      <c r="I20" s="296">
        <v>-8.8000000000000007</v>
      </c>
      <c r="J20" s="296">
        <v>-1.6000000000000008</v>
      </c>
      <c r="K20" s="295">
        <v>-0.76451612903225707</v>
      </c>
      <c r="L20" s="68"/>
    </row>
    <row r="21" spans="1:16" ht="14.1" customHeight="1">
      <c r="A21" s="135" t="s">
        <v>0</v>
      </c>
      <c r="B21" s="137">
        <f>SUM(B7:B20)</f>
        <v>2700222</v>
      </c>
      <c r="C21" s="280">
        <f>SUM(C7:C20)</f>
        <v>1216271.2291879279</v>
      </c>
      <c r="D21" s="113">
        <f>SUM(D7:D20)</f>
        <v>13317654.375441056</v>
      </c>
      <c r="E21" s="333">
        <f>SUM(E7:E20)</f>
        <v>1</v>
      </c>
      <c r="F21" s="299"/>
      <c r="G21" s="234">
        <v>-2.7806451612903227</v>
      </c>
      <c r="H21" s="234">
        <v>1.7</v>
      </c>
      <c r="I21" s="234">
        <v>-7.8</v>
      </c>
      <c r="J21" s="234">
        <v>-1.1741935483870967</v>
      </c>
      <c r="K21" s="234">
        <v>-1.606451612903226</v>
      </c>
    </row>
    <row r="22" spans="1:16" ht="14.1" customHeight="1">
      <c r="A22" s="140" t="s">
        <v>91</v>
      </c>
      <c r="B22" s="334"/>
      <c r="C22" s="281">
        <f>'5.1'!E13</f>
        <v>16432.916682252999</v>
      </c>
      <c r="D22" s="277">
        <f>'5.1'!F13</f>
        <v>179947.83733400001</v>
      </c>
      <c r="E22" s="334"/>
      <c r="F22" s="300">
        <f>'5.1'!H13</f>
        <v>-0.21015635201676106</v>
      </c>
      <c r="G22" s="240">
        <v>-2.7806451612903227</v>
      </c>
      <c r="H22" s="240">
        <v>1.7</v>
      </c>
      <c r="I22" s="240">
        <v>-7.8</v>
      </c>
      <c r="J22" s="240">
        <v>-1.1741935483870967</v>
      </c>
      <c r="K22" s="240">
        <v>-1.606451612903226</v>
      </c>
    </row>
    <row r="23" spans="1:16" ht="14.1" customHeight="1">
      <c r="A23" s="140" t="s">
        <v>54</v>
      </c>
      <c r="B23" s="142">
        <f>B21+B22</f>
        <v>2700222</v>
      </c>
      <c r="C23" s="281">
        <f>C21+C22</f>
        <v>1232704.1458701808</v>
      </c>
      <c r="D23" s="277">
        <f>D21+D22</f>
        <v>13497602.212775055</v>
      </c>
      <c r="E23" s="334"/>
      <c r="F23" s="300">
        <f>'5.1'!H14</f>
        <v>0.1806118375471189</v>
      </c>
      <c r="G23" s="240">
        <v>-2.7806451612903227</v>
      </c>
      <c r="H23" s="240">
        <v>1.7</v>
      </c>
      <c r="I23" s="240">
        <v>-7.8</v>
      </c>
      <c r="J23" s="240">
        <v>-1.1741935483870967</v>
      </c>
      <c r="K23" s="240">
        <v>-1.606451612903226</v>
      </c>
    </row>
    <row r="24" spans="1:16" ht="15" customHeight="1">
      <c r="A24" s="90"/>
      <c r="B24" s="83"/>
      <c r="C24" s="480" t="s">
        <v>230</v>
      </c>
      <c r="D24" s="480"/>
      <c r="E24" s="480"/>
      <c r="F24" s="480"/>
      <c r="G24" s="483" t="s">
        <v>228</v>
      </c>
      <c r="H24" s="483"/>
      <c r="I24" s="483"/>
      <c r="J24" s="483"/>
      <c r="K24" s="483"/>
    </row>
    <row r="25" spans="1:16" ht="15" customHeight="1">
      <c r="A25" s="83"/>
      <c r="B25" s="83"/>
      <c r="C25" s="480"/>
      <c r="D25" s="480"/>
      <c r="E25" s="480"/>
      <c r="F25" s="480"/>
      <c r="G25" s="483" t="s">
        <v>229</v>
      </c>
      <c r="H25" s="483"/>
      <c r="I25" s="483"/>
      <c r="J25" s="483"/>
      <c r="K25" s="483"/>
    </row>
    <row r="26" spans="1:16" ht="30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6" ht="15" customHeight="1">
      <c r="A27" s="77"/>
      <c r="B27" s="77"/>
      <c r="C27" s="83"/>
      <c r="D27" s="88"/>
      <c r="E27" s="89"/>
      <c r="F27" s="89"/>
      <c r="G27" s="83"/>
      <c r="H27" s="90"/>
      <c r="I27" s="77"/>
      <c r="J27" s="83"/>
      <c r="K27" s="83"/>
    </row>
    <row r="28" spans="1:16" ht="18" customHeight="1">
      <c r="A28" s="83"/>
      <c r="B28" s="83"/>
      <c r="C28" s="83"/>
      <c r="D28" s="88"/>
      <c r="E28" s="89"/>
      <c r="F28" s="89"/>
      <c r="G28" s="83"/>
      <c r="H28" s="83"/>
      <c r="I28" s="83"/>
      <c r="J28" s="83"/>
      <c r="K28" s="83"/>
    </row>
    <row r="29" spans="1:16" ht="15" customHeight="1">
      <c r="A29" s="465" t="s">
        <v>243</v>
      </c>
      <c r="B29" s="465"/>
      <c r="C29" s="465"/>
      <c r="D29" s="465"/>
      <c r="E29" s="465"/>
      <c r="F29" s="465" t="s">
        <v>60</v>
      </c>
      <c r="G29" s="465"/>
      <c r="H29" s="465"/>
      <c r="I29" s="465"/>
      <c r="J29" s="465"/>
      <c r="K29" s="465"/>
    </row>
    <row r="30" spans="1:16" ht="15" customHeight="1">
      <c r="A30" s="105"/>
      <c r="B30" s="481"/>
      <c r="C30" s="481"/>
      <c r="D30" s="105"/>
      <c r="E30" s="105"/>
      <c r="F30" s="105"/>
      <c r="G30" s="105"/>
      <c r="H30" s="481"/>
      <c r="I30" s="481"/>
      <c r="J30" s="105"/>
      <c r="K30" s="105"/>
    </row>
    <row r="31" spans="1:16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6" ht="1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1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1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1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5">
    <mergeCell ref="A1:K1"/>
    <mergeCell ref="A3:K3"/>
    <mergeCell ref="C24:F25"/>
    <mergeCell ref="C4:F4"/>
    <mergeCell ref="G4:K4"/>
    <mergeCell ref="A2:B2"/>
    <mergeCell ref="F5:F6"/>
    <mergeCell ref="E5:E6"/>
    <mergeCell ref="B30:C30"/>
    <mergeCell ref="H30:I30"/>
    <mergeCell ref="F29:K29"/>
    <mergeCell ref="A29:E29"/>
    <mergeCell ref="B5:B6"/>
    <mergeCell ref="G25:K25"/>
    <mergeCell ref="G24:K2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67" customWidth="1"/>
    <col min="2" max="2" width="10.28515625" style="67" customWidth="1"/>
    <col min="3" max="3" width="10" style="67" customWidth="1"/>
    <col min="4" max="4" width="10.7109375" style="67" customWidth="1"/>
    <col min="5" max="6" width="8.5703125" style="67" customWidth="1"/>
    <col min="7" max="10" width="6.7109375" style="67" customWidth="1"/>
    <col min="11" max="11" width="8.140625" style="67" customWidth="1"/>
    <col min="12" max="13" width="9.140625" style="67"/>
    <col min="14" max="14" width="11.140625" style="67" customWidth="1"/>
    <col min="15" max="16384" width="9.140625" style="67"/>
  </cols>
  <sheetData>
    <row r="1" spans="1:11" s="93" customFormat="1" ht="18">
      <c r="A1" s="485" t="str">
        <f>"6.9 Spotřeba zemního plynu a teplota ovzduší podle krajů: "&amp;LOWER(A3)</f>
        <v>6.9 Spotřeba zemního plynu a teplota ovzduší podle krajů: únor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6" customHeight="1">
      <c r="A2" s="489"/>
      <c r="B2" s="489"/>
      <c r="C2" s="267"/>
      <c r="D2" s="268"/>
      <c r="E2" s="269"/>
      <c r="F2" s="269"/>
      <c r="G2" s="269"/>
      <c r="H2" s="269"/>
    </row>
    <row r="3" spans="1:11" ht="20.100000000000001" customHeight="1">
      <c r="A3" s="447" t="str">
        <f>'3.1'!E5</f>
        <v>Únor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0.100000000000001" customHeight="1">
      <c r="A4" s="112"/>
      <c r="B4" s="230">
        <f>'3.1'!A4</f>
        <v>2026</v>
      </c>
      <c r="C4" s="503" t="s">
        <v>59</v>
      </c>
      <c r="D4" s="504"/>
      <c r="E4" s="504"/>
      <c r="F4" s="505"/>
      <c r="G4" s="506" t="s">
        <v>182</v>
      </c>
      <c r="H4" s="506"/>
      <c r="I4" s="506"/>
      <c r="J4" s="506"/>
      <c r="K4" s="506"/>
    </row>
    <row r="5" spans="1:11" ht="49.5" customHeight="1">
      <c r="A5" s="250"/>
      <c r="B5" s="456" t="s">
        <v>181</v>
      </c>
      <c r="C5" s="312"/>
      <c r="D5" s="313"/>
      <c r="E5" s="456" t="s">
        <v>265</v>
      </c>
      <c r="F5" s="490" t="s">
        <v>268</v>
      </c>
      <c r="G5" s="335" t="s">
        <v>61</v>
      </c>
      <c r="H5" s="335" t="s">
        <v>170</v>
      </c>
      <c r="I5" s="335" t="s">
        <v>171</v>
      </c>
      <c r="J5" s="335" t="s">
        <v>270</v>
      </c>
      <c r="K5" s="335" t="s">
        <v>271</v>
      </c>
    </row>
    <row r="6" spans="1:11" ht="15" customHeight="1">
      <c r="A6" s="199" t="s">
        <v>183</v>
      </c>
      <c r="B6" s="451"/>
      <c r="C6" s="201" t="s">
        <v>247</v>
      </c>
      <c r="D6" s="199" t="s">
        <v>248</v>
      </c>
      <c r="E6" s="451"/>
      <c r="F6" s="491"/>
      <c r="G6" s="199" t="s">
        <v>218</v>
      </c>
      <c r="H6" s="199" t="s">
        <v>218</v>
      </c>
      <c r="I6" s="199" t="s">
        <v>218</v>
      </c>
      <c r="J6" s="199" t="s">
        <v>218</v>
      </c>
      <c r="K6" s="199" t="s">
        <v>218</v>
      </c>
    </row>
    <row r="7" spans="1:11" ht="14.1" customHeight="1">
      <c r="A7" s="135" t="s">
        <v>8</v>
      </c>
      <c r="B7" s="113">
        <f>'6.1'!D20</f>
        <v>101440</v>
      </c>
      <c r="C7" s="280">
        <f>'6.1'!E20</f>
        <v>32230.324662000003</v>
      </c>
      <c r="D7" s="113">
        <f>'6.1'!F20</f>
        <v>351995.58341899997</v>
      </c>
      <c r="E7" s="274">
        <f>D7/$D$21</f>
        <v>3.5526266961010668E-2</v>
      </c>
      <c r="F7" s="299">
        <f>'6.1'!H20</f>
        <v>-4.7166105835266453E-2</v>
      </c>
      <c r="G7" s="293">
        <v>1.857142857142857</v>
      </c>
      <c r="H7" s="294">
        <v>7.4</v>
      </c>
      <c r="I7" s="294">
        <v>-5.9</v>
      </c>
      <c r="J7" s="294">
        <v>-0.80000000000000038</v>
      </c>
      <c r="K7" s="293">
        <v>2.6571428571428575</v>
      </c>
    </row>
    <row r="8" spans="1:11" ht="14.1" customHeight="1">
      <c r="A8" s="135" t="s">
        <v>9</v>
      </c>
      <c r="B8" s="113">
        <f>'6.1'!D50</f>
        <v>370742</v>
      </c>
      <c r="C8" s="280">
        <f>'6.1'!E50</f>
        <v>115496.90000000001</v>
      </c>
      <c r="D8" s="113">
        <f>'6.1'!F50</f>
        <v>1259757.1817399999</v>
      </c>
      <c r="E8" s="274">
        <f t="shared" ref="E8:E20" si="0">D8/$D$21</f>
        <v>0.12714497582565382</v>
      </c>
      <c r="F8" s="299">
        <f>'6.1'!H50</f>
        <v>-8.3885792789234012E-2</v>
      </c>
      <c r="G8" s="293">
        <v>2.0071428571428571</v>
      </c>
      <c r="H8" s="294">
        <v>8.3000000000000007</v>
      </c>
      <c r="I8" s="294">
        <v>-5.5</v>
      </c>
      <c r="J8" s="294">
        <v>-0.10000000000000005</v>
      </c>
      <c r="K8" s="293">
        <v>2.1071428571428572</v>
      </c>
    </row>
    <row r="9" spans="1:11" ht="14.1" customHeight="1">
      <c r="A9" s="135" t="s">
        <v>10</v>
      </c>
      <c r="B9" s="113">
        <f>'6.2'!D20</f>
        <v>78763</v>
      </c>
      <c r="C9" s="280">
        <f>'6.2'!E20</f>
        <v>29782.499999999996</v>
      </c>
      <c r="D9" s="113">
        <f>'6.2'!F20</f>
        <v>324845.77831999998</v>
      </c>
      <c r="E9" s="274">
        <f t="shared" si="0"/>
        <v>3.2786087057280602E-2</v>
      </c>
      <c r="F9" s="299">
        <f>'6.2'!H20</f>
        <v>9.691688366217184E-2</v>
      </c>
      <c r="G9" s="293">
        <v>1.1607142857142858</v>
      </c>
      <c r="H9" s="294">
        <v>6.7</v>
      </c>
      <c r="I9" s="294">
        <v>-4.8</v>
      </c>
      <c r="J9" s="294">
        <v>-1.1000000000000005</v>
      </c>
      <c r="K9" s="293">
        <v>2.2607142857142861</v>
      </c>
    </row>
    <row r="10" spans="1:11" ht="14.1" customHeight="1">
      <c r="A10" s="135" t="s">
        <v>89</v>
      </c>
      <c r="B10" s="113">
        <f>'6.2'!D50</f>
        <v>113450</v>
      </c>
      <c r="C10" s="280">
        <f>'6.2'!E50</f>
        <v>37881.000000000007</v>
      </c>
      <c r="D10" s="113">
        <f>'6.2'!F50</f>
        <v>413178.17230999999</v>
      </c>
      <c r="E10" s="274">
        <f t="shared" si="0"/>
        <v>4.1701313151064956E-2</v>
      </c>
      <c r="F10" s="299">
        <f>'6.2'!H50</f>
        <v>-3.7165253461843212E-2</v>
      </c>
      <c r="G10" s="293">
        <v>0.91785714285714293</v>
      </c>
      <c r="H10" s="294">
        <v>6.1</v>
      </c>
      <c r="I10" s="294">
        <v>-6.9</v>
      </c>
      <c r="J10" s="294">
        <v>-1.1000000000000005</v>
      </c>
      <c r="K10" s="293">
        <v>2.0178571428571432</v>
      </c>
    </row>
    <row r="11" spans="1:11" ht="14.1" customHeight="1">
      <c r="A11" s="135" t="s">
        <v>11</v>
      </c>
      <c r="B11" s="113">
        <f>'6.3'!D20</f>
        <v>90312</v>
      </c>
      <c r="C11" s="280">
        <f>'6.3'!E20</f>
        <v>35922.226000000002</v>
      </c>
      <c r="D11" s="113">
        <f>'6.3'!F20</f>
        <v>391809.14589000004</v>
      </c>
      <c r="E11" s="274">
        <f t="shared" si="0"/>
        <v>3.954457660931654E-2</v>
      </c>
      <c r="F11" s="299">
        <f>'6.3'!H20</f>
        <v>-6.5228877225213283E-2</v>
      </c>
      <c r="G11" s="293">
        <v>1.25</v>
      </c>
      <c r="H11" s="294">
        <v>6.6</v>
      </c>
      <c r="I11" s="294">
        <v>-5.4</v>
      </c>
      <c r="J11" s="294">
        <v>-0.69999999999999962</v>
      </c>
      <c r="K11" s="293">
        <v>1.9499999999999997</v>
      </c>
    </row>
    <row r="12" spans="1:11" ht="14.1" customHeight="1">
      <c r="A12" s="135" t="s">
        <v>12</v>
      </c>
      <c r="B12" s="113">
        <f>'6.3'!D50</f>
        <v>352585</v>
      </c>
      <c r="C12" s="280">
        <f>'6.3'!E50</f>
        <v>101461.046</v>
      </c>
      <c r="D12" s="113">
        <f>'6.3'!F50</f>
        <v>1106454.9802919999</v>
      </c>
      <c r="E12" s="274">
        <f t="shared" si="0"/>
        <v>0.1116724665360435</v>
      </c>
      <c r="F12" s="299">
        <f>'6.3'!H50</f>
        <v>-1.3361836957011257E-2</v>
      </c>
      <c r="G12" s="293">
        <v>0.67142857142857149</v>
      </c>
      <c r="H12" s="294">
        <v>7.5</v>
      </c>
      <c r="I12" s="294">
        <v>-9.3000000000000007</v>
      </c>
      <c r="J12" s="294">
        <v>-0.80000000000000038</v>
      </c>
      <c r="K12" s="293">
        <v>1.471428571428572</v>
      </c>
    </row>
    <row r="13" spans="1:11" ht="14.1" customHeight="1">
      <c r="A13" s="135" t="s">
        <v>13</v>
      </c>
      <c r="B13" s="113">
        <f>'6.4'!D20</f>
        <v>178511</v>
      </c>
      <c r="C13" s="280">
        <f>'6.4'!E20</f>
        <v>57031.3</v>
      </c>
      <c r="D13" s="113">
        <f>'6.4'!F20</f>
        <v>622057.23029000009</v>
      </c>
      <c r="E13" s="274">
        <f t="shared" si="0"/>
        <v>6.2783092371938423E-2</v>
      </c>
      <c r="F13" s="299">
        <f>'6.4'!H20</f>
        <v>-6.0388785551768076E-2</v>
      </c>
      <c r="G13" s="293">
        <v>0.56071428571428594</v>
      </c>
      <c r="H13" s="294">
        <v>6.3</v>
      </c>
      <c r="I13" s="294">
        <v>-8</v>
      </c>
      <c r="J13" s="294">
        <v>-1.2</v>
      </c>
      <c r="K13" s="293">
        <v>1.7607142857142859</v>
      </c>
    </row>
    <row r="14" spans="1:11" ht="14.1" customHeight="1">
      <c r="A14" s="135" t="s">
        <v>14</v>
      </c>
      <c r="B14" s="113">
        <f>'6.4'!D50</f>
        <v>132592</v>
      </c>
      <c r="C14" s="280">
        <f>'6.4'!E50</f>
        <v>39149.584000000003</v>
      </c>
      <c r="D14" s="113">
        <f>'6.4'!F50</f>
        <v>427014.11165700003</v>
      </c>
      <c r="E14" s="274">
        <f t="shared" si="0"/>
        <v>4.3097749066889408E-2</v>
      </c>
      <c r="F14" s="299">
        <f>'6.4'!H50</f>
        <v>-4.5405600497828102E-2</v>
      </c>
      <c r="G14" s="293">
        <v>1.3071428571428572</v>
      </c>
      <c r="H14" s="294">
        <v>7.5</v>
      </c>
      <c r="I14" s="294">
        <v>-6</v>
      </c>
      <c r="J14" s="294">
        <v>-0.3</v>
      </c>
      <c r="K14" s="293">
        <v>1.6071428571428572</v>
      </c>
    </row>
    <row r="15" spans="1:11" ht="14.1" customHeight="1">
      <c r="A15" s="135" t="s">
        <v>15</v>
      </c>
      <c r="B15" s="113">
        <f>'6.5'!D20</f>
        <v>154191</v>
      </c>
      <c r="C15" s="280">
        <f>'6.5'!E20</f>
        <v>40351.599999999999</v>
      </c>
      <c r="D15" s="113">
        <f>'6.5'!F20</f>
        <v>440124.90480000008</v>
      </c>
      <c r="E15" s="274">
        <f t="shared" si="0"/>
        <v>4.4420997309792404E-2</v>
      </c>
      <c r="F15" s="299">
        <f>'6.5'!H20</f>
        <v>-7.7772571964026593E-2</v>
      </c>
      <c r="G15" s="293">
        <v>2.2821428571428575</v>
      </c>
      <c r="H15" s="294">
        <v>8.3000000000000007</v>
      </c>
      <c r="I15" s="294">
        <v>-4.2</v>
      </c>
      <c r="J15" s="294">
        <v>-0.6</v>
      </c>
      <c r="K15" s="293">
        <v>2.8821428571428576</v>
      </c>
    </row>
    <row r="16" spans="1:11" ht="14.1" customHeight="1">
      <c r="A16" s="135" t="s">
        <v>1</v>
      </c>
      <c r="B16" s="113">
        <f>'6.5'!D50</f>
        <v>368267</v>
      </c>
      <c r="C16" s="280">
        <f>'6.5'!E50</f>
        <v>89007.449210702005</v>
      </c>
      <c r="D16" s="113">
        <f>'6.5'!F50</f>
        <v>971999.90168244089</v>
      </c>
      <c r="E16" s="274">
        <f t="shared" si="0"/>
        <v>9.8102162697143017E-2</v>
      </c>
      <c r="F16" s="299">
        <f>'6.5'!H50</f>
        <v>-9.2262294945221604E-2</v>
      </c>
      <c r="G16" s="293">
        <v>3.157142857142857</v>
      </c>
      <c r="H16" s="294">
        <v>9.5</v>
      </c>
      <c r="I16" s="294">
        <v>-2.9</v>
      </c>
      <c r="J16" s="294">
        <v>0.69999999999999962</v>
      </c>
      <c r="K16" s="293">
        <v>2.4571428571428573</v>
      </c>
    </row>
    <row r="17" spans="1:16" ht="14.1" customHeight="1">
      <c r="A17" s="135" t="s">
        <v>16</v>
      </c>
      <c r="B17" s="113">
        <f>'6.6'!D20</f>
        <v>279861</v>
      </c>
      <c r="C17" s="280">
        <f>'6.6'!E20</f>
        <v>115930.047630199</v>
      </c>
      <c r="D17" s="113">
        <f>'6.6'!F20</f>
        <v>1264624.292886355</v>
      </c>
      <c r="E17" s="274">
        <f t="shared" si="0"/>
        <v>0.12763620440367976</v>
      </c>
      <c r="F17" s="299">
        <f>'6.6'!H20</f>
        <v>-8.0555223609551974E-2</v>
      </c>
      <c r="G17" s="293">
        <v>2.3107142857142855</v>
      </c>
      <c r="H17" s="294">
        <v>8.1999999999999993</v>
      </c>
      <c r="I17" s="294">
        <v>-4.3</v>
      </c>
      <c r="J17" s="294">
        <v>0.20000000000000009</v>
      </c>
      <c r="K17" s="293">
        <v>2.1107142857142853</v>
      </c>
      <c r="L17" s="68"/>
      <c r="N17" s="68"/>
      <c r="O17" s="68"/>
      <c r="P17" s="68"/>
    </row>
    <row r="18" spans="1:16" ht="14.1" customHeight="1">
      <c r="A18" s="135" t="s">
        <v>17</v>
      </c>
      <c r="B18" s="113">
        <f>'6.6'!D50</f>
        <v>207778</v>
      </c>
      <c r="C18" s="280">
        <f>'6.6'!E50</f>
        <v>132577.57500000001</v>
      </c>
      <c r="D18" s="113">
        <f>'6.6'!F50</f>
        <v>1449125.419862</v>
      </c>
      <c r="E18" s="274">
        <f t="shared" si="0"/>
        <v>0.14625756387608468</v>
      </c>
      <c r="F18" s="299">
        <f>'6.6'!H50</f>
        <v>0.1304986285098807</v>
      </c>
      <c r="G18" s="293">
        <v>1.6071428571428572</v>
      </c>
      <c r="H18" s="294">
        <v>8</v>
      </c>
      <c r="I18" s="294">
        <v>-4.5</v>
      </c>
      <c r="J18" s="294">
        <v>0.40000000000000019</v>
      </c>
      <c r="K18" s="293">
        <v>1.2071428571428571</v>
      </c>
      <c r="L18" s="68"/>
      <c r="N18" s="68"/>
      <c r="O18" s="68"/>
      <c r="P18" s="68"/>
    </row>
    <row r="19" spans="1:16" ht="14.1" customHeight="1">
      <c r="A19" s="135" t="s">
        <v>18</v>
      </c>
      <c r="B19" s="113">
        <f>'6.7'!D20</f>
        <v>118505</v>
      </c>
      <c r="C19" s="280">
        <f>'6.7'!E20</f>
        <v>36269.422339000004</v>
      </c>
      <c r="D19" s="113">
        <f>'6.7'!F20</f>
        <v>395651.64451499999</v>
      </c>
      <c r="E19" s="274">
        <f t="shared" si="0"/>
        <v>3.9932392929689427E-2</v>
      </c>
      <c r="F19" s="299">
        <f>'6.7'!H20</f>
        <v>-4.6477180656395917E-2</v>
      </c>
      <c r="G19" s="293">
        <v>1.0107142857142857</v>
      </c>
      <c r="H19" s="294">
        <v>6.6</v>
      </c>
      <c r="I19" s="294">
        <v>-5.0999999999999996</v>
      </c>
      <c r="J19" s="294">
        <v>-1.2999999999999998</v>
      </c>
      <c r="K19" s="293">
        <v>2.3107142857142855</v>
      </c>
      <c r="L19" s="68"/>
      <c r="N19" s="68"/>
      <c r="O19" s="68"/>
      <c r="P19" s="68"/>
    </row>
    <row r="20" spans="1:16" ht="14.1" customHeight="1">
      <c r="A20" s="140" t="s">
        <v>19</v>
      </c>
      <c r="B20" s="277">
        <f>'6.7'!D50</f>
        <v>150720</v>
      </c>
      <c r="C20" s="281">
        <f>'6.7'!E50</f>
        <v>44868.9</v>
      </c>
      <c r="D20" s="277">
        <f>'6.7'!F50</f>
        <v>489399.09982</v>
      </c>
      <c r="E20" s="278">
        <f t="shared" si="0"/>
        <v>4.9394151204412921E-2</v>
      </c>
      <c r="F20" s="300">
        <f>'6.7'!H50</f>
        <v>-0.11971882105742268</v>
      </c>
      <c r="G20" s="295">
        <v>0.97499999999999998</v>
      </c>
      <c r="H20" s="296">
        <v>6.3</v>
      </c>
      <c r="I20" s="296">
        <v>-6.9</v>
      </c>
      <c r="J20" s="296">
        <v>-0.10000000000000005</v>
      </c>
      <c r="K20" s="295">
        <v>1.075</v>
      </c>
      <c r="L20" s="68"/>
    </row>
    <row r="21" spans="1:16" ht="14.1" customHeight="1">
      <c r="A21" s="135" t="s">
        <v>0</v>
      </c>
      <c r="B21" s="137">
        <f>SUM(B7:B20)</f>
        <v>2697717</v>
      </c>
      <c r="C21" s="280">
        <f>SUM(C7:C20)</f>
        <v>907959.87484190112</v>
      </c>
      <c r="D21" s="113">
        <f>SUM(D7:D20)</f>
        <v>9908037.4474837948</v>
      </c>
      <c r="E21" s="333">
        <f>SUM(E7:E20)</f>
        <v>1</v>
      </c>
      <c r="F21" s="299"/>
      <c r="G21" s="234">
        <v>1.4607142857142859</v>
      </c>
      <c r="H21" s="234">
        <v>7</v>
      </c>
      <c r="I21" s="234">
        <v>-4.5999999999999996</v>
      </c>
      <c r="J21" s="234">
        <v>0.26896551724137935</v>
      </c>
      <c r="K21" s="234">
        <v>1.1917487684729065</v>
      </c>
    </row>
    <row r="22" spans="1:16" ht="14.1" customHeight="1">
      <c r="A22" s="140" t="s">
        <v>91</v>
      </c>
      <c r="B22" s="334"/>
      <c r="C22" s="281">
        <f>'5.1'!E20</f>
        <v>16583.486299491</v>
      </c>
      <c r="D22" s="277">
        <f>'5.1'!F20</f>
        <v>180979.404186</v>
      </c>
      <c r="E22" s="334"/>
      <c r="F22" s="300">
        <f>'5.1'!H20</f>
        <v>-9.848159950062535E-2</v>
      </c>
      <c r="G22" s="240">
        <v>1.4607142857142859</v>
      </c>
      <c r="H22" s="240">
        <v>7</v>
      </c>
      <c r="I22" s="240">
        <v>-4.5999999999999996</v>
      </c>
      <c r="J22" s="240">
        <v>0.26896551724137935</v>
      </c>
      <c r="K22" s="240">
        <v>1.1917487684729065</v>
      </c>
    </row>
    <row r="23" spans="1:16" ht="14.1" customHeight="1">
      <c r="A23" s="140" t="s">
        <v>54</v>
      </c>
      <c r="B23" s="142">
        <f>B21+B22</f>
        <v>2697717</v>
      </c>
      <c r="C23" s="281">
        <f t="shared" ref="C23:D23" si="1">C21+C22</f>
        <v>924543.36114139215</v>
      </c>
      <c r="D23" s="277">
        <f t="shared" si="1"/>
        <v>10089016.851669794</v>
      </c>
      <c r="E23" s="334"/>
      <c r="F23" s="300">
        <f>'5.1'!H21</f>
        <v>-3.8874038414518718E-2</v>
      </c>
      <c r="G23" s="240">
        <v>1.4607142857142859</v>
      </c>
      <c r="H23" s="240">
        <v>7</v>
      </c>
      <c r="I23" s="240">
        <v>-4.5999999999999996</v>
      </c>
      <c r="J23" s="240">
        <v>0.26896551724137935</v>
      </c>
      <c r="K23" s="240">
        <v>1.1917487684729065</v>
      </c>
    </row>
    <row r="24" spans="1:16" ht="15" customHeight="1">
      <c r="A24" s="90"/>
      <c r="B24" s="83"/>
      <c r="C24" s="480" t="s">
        <v>230</v>
      </c>
      <c r="D24" s="480"/>
      <c r="E24" s="480"/>
      <c r="F24" s="480"/>
      <c r="G24" s="483" t="s">
        <v>228</v>
      </c>
      <c r="H24" s="483"/>
      <c r="I24" s="483"/>
      <c r="J24" s="483"/>
      <c r="K24" s="483"/>
    </row>
    <row r="25" spans="1:16" ht="15" customHeight="1">
      <c r="A25" s="83"/>
      <c r="B25" s="83"/>
      <c r="C25" s="480"/>
      <c r="D25" s="480"/>
      <c r="E25" s="480"/>
      <c r="F25" s="480"/>
      <c r="G25" s="483" t="s">
        <v>229</v>
      </c>
      <c r="H25" s="483"/>
      <c r="I25" s="483"/>
      <c r="J25" s="483"/>
      <c r="K25" s="483"/>
    </row>
    <row r="26" spans="1:16" ht="30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6" ht="15" customHeight="1">
      <c r="A27" s="77"/>
      <c r="B27" s="77"/>
      <c r="C27" s="83"/>
      <c r="D27" s="88"/>
      <c r="E27" s="89"/>
      <c r="F27" s="89"/>
      <c r="G27" s="83"/>
      <c r="H27" s="90"/>
      <c r="I27" s="77"/>
      <c r="J27" s="83"/>
      <c r="K27" s="83"/>
    </row>
    <row r="28" spans="1:16" ht="18" customHeight="1">
      <c r="A28" s="83"/>
      <c r="B28" s="83"/>
      <c r="C28" s="83"/>
      <c r="D28" s="88"/>
      <c r="E28" s="89"/>
      <c r="F28" s="89"/>
      <c r="G28" s="83"/>
      <c r="H28" s="83"/>
      <c r="I28" s="83"/>
      <c r="J28" s="83"/>
      <c r="K28" s="83"/>
    </row>
    <row r="29" spans="1:16" ht="15" customHeight="1">
      <c r="A29" s="465" t="s">
        <v>243</v>
      </c>
      <c r="B29" s="465"/>
      <c r="C29" s="465"/>
      <c r="D29" s="465"/>
      <c r="E29" s="465"/>
      <c r="F29" s="465" t="s">
        <v>60</v>
      </c>
      <c r="G29" s="465"/>
      <c r="H29" s="465"/>
      <c r="I29" s="465"/>
      <c r="J29" s="465"/>
      <c r="K29" s="465"/>
    </row>
    <row r="30" spans="1:16" ht="15" customHeight="1">
      <c r="A30" s="105"/>
      <c r="B30" s="481"/>
      <c r="C30" s="481"/>
      <c r="D30" s="105"/>
      <c r="E30" s="105"/>
      <c r="F30" s="105"/>
      <c r="G30" s="105"/>
      <c r="H30" s="481"/>
      <c r="I30" s="481"/>
      <c r="J30" s="105"/>
      <c r="K30" s="105"/>
    </row>
    <row r="31" spans="1:16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6" ht="1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1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1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1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>
      <selection activeCell="C1" sqref="C1"/>
    </sheetView>
  </sheetViews>
  <sheetFormatPr defaultColWidth="9.140625" defaultRowHeight="11.25"/>
  <cols>
    <col min="1" max="1" width="90.28515625" style="4" customWidth="1"/>
    <col min="2" max="2" width="9.140625" style="2" customWidth="1"/>
    <col min="3" max="4" width="9.140625" style="4" customWidth="1"/>
    <col min="5" max="5" width="9.140625" style="4"/>
    <col min="6" max="6" width="9.140625" style="4" customWidth="1"/>
    <col min="7" max="8" width="9.140625" style="4"/>
    <col min="9" max="9" width="9.140625" style="4" customWidth="1"/>
    <col min="10" max="16384" width="9.140625" style="4"/>
  </cols>
  <sheetData>
    <row r="1" spans="1:4" ht="20.25">
      <c r="A1" s="38" t="s">
        <v>232</v>
      </c>
      <c r="C1" s="3"/>
      <c r="D1" s="3"/>
    </row>
    <row r="2" spans="1:4" ht="6" customHeight="1">
      <c r="A2" s="5"/>
      <c r="B2" s="5"/>
      <c r="C2" s="5"/>
      <c r="D2" s="5"/>
    </row>
    <row r="3" spans="1:4" ht="11.25" customHeight="1">
      <c r="A3" s="394" t="s">
        <v>324</v>
      </c>
      <c r="B3" s="394"/>
    </row>
    <row r="4" spans="1:4" ht="11.25" customHeight="1">
      <c r="A4" s="394"/>
      <c r="B4" s="394"/>
    </row>
    <row r="5" spans="1:4" ht="11.25" customHeight="1">
      <c r="A5" s="394"/>
      <c r="B5" s="394"/>
      <c r="C5" s="6"/>
      <c r="D5" s="6"/>
    </row>
    <row r="6" spans="1:4" ht="11.25" customHeight="1">
      <c r="A6" s="394"/>
      <c r="B6" s="394"/>
      <c r="C6" s="6"/>
      <c r="D6" s="6"/>
    </row>
    <row r="7" spans="1:4" ht="11.25" customHeight="1">
      <c r="A7" s="394"/>
      <c r="B7" s="394"/>
      <c r="C7" s="7"/>
      <c r="D7" s="6"/>
    </row>
    <row r="8" spans="1:4" ht="11.25" customHeight="1">
      <c r="A8" s="394"/>
      <c r="B8" s="394"/>
      <c r="C8" s="6"/>
      <c r="D8" s="6"/>
    </row>
    <row r="9" spans="1:4" ht="11.25" customHeight="1">
      <c r="A9" s="394"/>
      <c r="B9" s="394"/>
      <c r="C9" s="6"/>
      <c r="D9" s="6"/>
    </row>
    <row r="10" spans="1:4" ht="11.25" customHeight="1">
      <c r="A10" s="394"/>
      <c r="B10" s="394"/>
      <c r="C10" s="6"/>
      <c r="D10" s="6"/>
    </row>
    <row r="11" spans="1:4" ht="11.25" customHeight="1">
      <c r="A11" s="394"/>
      <c r="B11" s="394"/>
      <c r="C11" s="6"/>
      <c r="D11" s="6"/>
    </row>
    <row r="12" spans="1:4" ht="11.25" customHeight="1">
      <c r="A12" s="394"/>
      <c r="B12" s="394"/>
      <c r="C12" s="6"/>
      <c r="D12" s="6"/>
    </row>
    <row r="13" spans="1:4" ht="11.25" customHeight="1">
      <c r="A13" s="394"/>
      <c r="B13" s="394"/>
      <c r="C13" s="6"/>
      <c r="D13" s="6"/>
    </row>
    <row r="14" spans="1:4" ht="11.25" customHeight="1">
      <c r="A14" s="394"/>
      <c r="B14" s="394"/>
      <c r="C14" s="6"/>
      <c r="D14" s="6"/>
    </row>
    <row r="15" spans="1:4" ht="11.25" customHeight="1">
      <c r="A15" s="394"/>
      <c r="B15" s="394"/>
      <c r="C15" s="6"/>
      <c r="D15" s="6"/>
    </row>
    <row r="16" spans="1:4" ht="11.25" customHeight="1">
      <c r="A16" s="394"/>
      <c r="B16" s="394"/>
      <c r="C16" s="6"/>
      <c r="D16" s="6"/>
    </row>
    <row r="17" spans="1:6" ht="11.25" customHeight="1">
      <c r="A17" s="394"/>
      <c r="B17" s="394"/>
      <c r="C17" s="6"/>
      <c r="D17" s="6"/>
    </row>
    <row r="18" spans="1:6" ht="11.25" customHeight="1">
      <c r="A18" s="394"/>
      <c r="B18" s="394"/>
      <c r="C18" s="6"/>
      <c r="D18" s="6"/>
      <c r="F18" s="2"/>
    </row>
    <row r="19" spans="1:6" ht="11.25" customHeight="1">
      <c r="A19" s="394"/>
      <c r="B19" s="394"/>
      <c r="C19" s="6"/>
      <c r="D19" s="6"/>
      <c r="F19" s="2"/>
    </row>
    <row r="20" spans="1:6" ht="11.25" customHeight="1">
      <c r="A20" s="394"/>
      <c r="B20" s="394"/>
      <c r="C20" s="6"/>
      <c r="D20" s="6"/>
      <c r="F20" s="2"/>
    </row>
    <row r="21" spans="1:6" ht="11.25" customHeight="1">
      <c r="A21" s="394"/>
      <c r="B21" s="394"/>
      <c r="C21" s="6"/>
      <c r="D21" s="6"/>
      <c r="F21" s="2"/>
    </row>
    <row r="22" spans="1:6" ht="11.25" customHeight="1">
      <c r="A22" s="394"/>
      <c r="B22" s="394"/>
      <c r="C22" s="6"/>
      <c r="D22" s="6"/>
      <c r="F22" s="2"/>
    </row>
    <row r="23" spans="1:6" ht="11.25" customHeight="1">
      <c r="A23" s="394"/>
      <c r="B23" s="394"/>
      <c r="C23" s="6"/>
      <c r="D23" s="6"/>
      <c r="F23" s="2"/>
    </row>
    <row r="24" spans="1:6" ht="11.25" customHeight="1">
      <c r="A24" s="394"/>
      <c r="B24" s="394"/>
      <c r="C24" s="6"/>
      <c r="D24" s="6"/>
      <c r="F24" s="2"/>
    </row>
    <row r="25" spans="1:6" ht="11.25" customHeight="1">
      <c r="A25" s="394"/>
      <c r="B25" s="394"/>
      <c r="C25" s="6"/>
      <c r="D25" s="6"/>
      <c r="F25" s="2"/>
    </row>
    <row r="26" spans="1:6" ht="11.25" customHeight="1">
      <c r="A26" s="394"/>
      <c r="B26" s="394"/>
      <c r="C26" s="6"/>
      <c r="D26" s="6"/>
      <c r="F26" s="2"/>
    </row>
    <row r="27" spans="1:6" ht="11.25" customHeight="1">
      <c r="A27" s="394"/>
      <c r="B27" s="394"/>
      <c r="C27" s="6"/>
      <c r="D27" s="6"/>
      <c r="F27" s="2"/>
    </row>
    <row r="28" spans="1:6" ht="11.25" customHeight="1">
      <c r="A28" s="394"/>
      <c r="B28" s="394"/>
      <c r="C28" s="8"/>
      <c r="D28" s="8"/>
      <c r="F28" s="2"/>
    </row>
    <row r="29" spans="1:6" ht="11.25" customHeight="1">
      <c r="A29" s="394"/>
      <c r="B29" s="394"/>
      <c r="C29" s="6"/>
      <c r="D29" s="6"/>
      <c r="F29" s="2"/>
    </row>
    <row r="30" spans="1:6" ht="11.25" customHeight="1">
      <c r="A30" s="394"/>
      <c r="B30" s="394"/>
      <c r="C30" s="6"/>
      <c r="D30" s="6"/>
    </row>
    <row r="31" spans="1:6" ht="11.25" customHeight="1">
      <c r="A31" s="394"/>
      <c r="B31" s="394"/>
      <c r="C31" s="6"/>
      <c r="D31" s="6"/>
    </row>
    <row r="32" spans="1:6" ht="11.25" customHeight="1">
      <c r="A32" s="394"/>
      <c r="B32" s="394"/>
      <c r="C32" s="6"/>
      <c r="D32" s="6"/>
    </row>
    <row r="33" spans="1:4" ht="11.25" customHeight="1">
      <c r="A33" s="394"/>
      <c r="B33" s="394"/>
      <c r="C33" s="6"/>
      <c r="D33" s="6"/>
    </row>
    <row r="34" spans="1:4" ht="11.25" customHeight="1">
      <c r="A34" s="394"/>
      <c r="B34" s="394"/>
      <c r="C34" s="6"/>
      <c r="D34" s="6"/>
    </row>
    <row r="35" spans="1:4" ht="11.25" customHeight="1">
      <c r="A35" s="394"/>
      <c r="B35" s="394"/>
      <c r="C35" s="6"/>
      <c r="D35" s="6"/>
    </row>
    <row r="36" spans="1:4" ht="11.25" customHeight="1">
      <c r="A36" s="394"/>
      <c r="B36" s="394"/>
      <c r="C36" s="6"/>
      <c r="D36" s="6"/>
    </row>
    <row r="37" spans="1:4" ht="11.25" customHeight="1">
      <c r="A37" s="394"/>
      <c r="B37" s="394"/>
      <c r="C37" s="7"/>
      <c r="D37" s="7"/>
    </row>
    <row r="38" spans="1:4" ht="11.25" customHeight="1">
      <c r="A38" s="394"/>
      <c r="B38" s="394"/>
    </row>
    <row r="39" spans="1:4" ht="11.25" customHeight="1">
      <c r="A39" s="394"/>
      <c r="B39" s="394"/>
    </row>
    <row r="40" spans="1:4" ht="11.25" customHeight="1">
      <c r="A40" s="394"/>
      <c r="B40" s="394"/>
    </row>
    <row r="41" spans="1:4" ht="11.25" customHeight="1">
      <c r="A41" s="394"/>
      <c r="B41" s="394"/>
    </row>
    <row r="42" spans="1:4" ht="11.25" customHeight="1">
      <c r="A42" s="394"/>
      <c r="B42" s="394"/>
    </row>
    <row r="43" spans="1:4" ht="11.25" customHeight="1">
      <c r="A43" s="394"/>
      <c r="B43" s="394"/>
    </row>
    <row r="44" spans="1:4" ht="11.25" customHeight="1">
      <c r="A44" s="394"/>
      <c r="B44" s="394"/>
    </row>
    <row r="45" spans="1:4" ht="11.25" customHeight="1">
      <c r="A45" s="394"/>
      <c r="B45" s="394"/>
    </row>
    <row r="46" spans="1:4" ht="11.25" customHeight="1">
      <c r="A46" s="394"/>
      <c r="B46" s="394"/>
    </row>
    <row r="47" spans="1:4" ht="11.25" customHeight="1">
      <c r="A47" s="394"/>
      <c r="B47" s="394"/>
    </row>
    <row r="48" spans="1:4" ht="11.25" customHeight="1">
      <c r="A48" s="394"/>
      <c r="B48" s="394"/>
    </row>
    <row r="49" spans="1:2" ht="11.25" customHeight="1">
      <c r="A49" s="394"/>
      <c r="B49" s="394"/>
    </row>
    <row r="50" spans="1:2" ht="11.25" customHeight="1">
      <c r="A50" s="394"/>
      <c r="B50" s="394"/>
    </row>
    <row r="51" spans="1:2" ht="11.25" customHeight="1">
      <c r="A51" s="394"/>
      <c r="B51" s="394"/>
    </row>
    <row r="52" spans="1:2" ht="11.25" customHeight="1">
      <c r="A52" s="394"/>
      <c r="B52" s="394"/>
    </row>
    <row r="53" spans="1:2" ht="11.25" customHeight="1">
      <c r="A53" s="394"/>
      <c r="B53" s="394"/>
    </row>
    <row r="54" spans="1:2" ht="11.25" customHeight="1">
      <c r="A54" s="394"/>
      <c r="B54" s="394"/>
    </row>
    <row r="55" spans="1:2" ht="11.25" customHeight="1">
      <c r="A55" s="394"/>
      <c r="B55" s="394"/>
    </row>
    <row r="56" spans="1:2" ht="11.25" customHeight="1">
      <c r="A56" s="394"/>
      <c r="B56" s="394"/>
    </row>
    <row r="57" spans="1:2" ht="11.25" customHeight="1">
      <c r="A57" s="394"/>
      <c r="B57" s="394"/>
    </row>
    <row r="58" spans="1:2" ht="11.25" customHeight="1">
      <c r="A58" s="394"/>
      <c r="B58" s="394"/>
    </row>
    <row r="59" spans="1:2" ht="11.25" customHeight="1">
      <c r="A59" s="394"/>
      <c r="B59" s="394"/>
    </row>
    <row r="60" spans="1:2" ht="11.25" customHeight="1">
      <c r="A60" s="394"/>
      <c r="B60" s="394"/>
    </row>
    <row r="61" spans="1:2" ht="11.25" customHeight="1">
      <c r="A61" s="394"/>
      <c r="B61" s="394"/>
    </row>
    <row r="62" spans="1:2" ht="11.25" customHeight="1">
      <c r="A62" s="394"/>
      <c r="B62" s="394"/>
    </row>
    <row r="63" spans="1:2" ht="11.25" customHeight="1">
      <c r="A63" s="394"/>
      <c r="B63" s="394"/>
    </row>
    <row r="64" spans="1:2" ht="11.25" customHeight="1">
      <c r="A64" s="394"/>
      <c r="B64" s="394"/>
    </row>
    <row r="65" spans="1:2" ht="11.25" customHeight="1">
      <c r="A65" s="394"/>
      <c r="B65" s="394"/>
    </row>
    <row r="66" spans="1:2" ht="11.25" customHeight="1">
      <c r="A66" s="394"/>
      <c r="B66" s="394"/>
    </row>
    <row r="67" spans="1:2" ht="11.25" customHeight="1">
      <c r="A67" s="394"/>
      <c r="B67" s="394"/>
    </row>
    <row r="68" spans="1:2" ht="11.25" customHeight="1">
      <c r="A68" s="394"/>
      <c r="B68" s="394"/>
    </row>
    <row r="69" spans="1:2" ht="11.25" customHeight="1">
      <c r="A69" s="394"/>
      <c r="B69" s="394"/>
    </row>
    <row r="70" spans="1:2" ht="11.25" customHeight="1">
      <c r="A70" s="394"/>
      <c r="B70" s="394"/>
    </row>
    <row r="71" spans="1:2" ht="11.25" customHeight="1">
      <c r="A71" s="394"/>
      <c r="B71" s="394"/>
    </row>
    <row r="72" spans="1:2" ht="11.25" customHeight="1">
      <c r="A72" s="9"/>
      <c r="B72" s="9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7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67" customWidth="1"/>
    <col min="2" max="2" width="10.28515625" style="67" customWidth="1"/>
    <col min="3" max="3" width="10" style="67" customWidth="1"/>
    <col min="4" max="4" width="10.7109375" style="67" customWidth="1"/>
    <col min="5" max="6" width="8.5703125" style="67" customWidth="1"/>
    <col min="7" max="10" width="6.7109375" style="67" customWidth="1"/>
    <col min="11" max="11" width="8.140625" style="67" customWidth="1"/>
    <col min="12" max="13" width="9.140625" style="67"/>
    <col min="14" max="14" width="11.140625" style="67" customWidth="1"/>
    <col min="15" max="16384" width="9.140625" style="67"/>
  </cols>
  <sheetData>
    <row r="1" spans="1:11" s="93" customFormat="1" ht="18">
      <c r="A1" s="485" t="str">
        <f>"6.10 Spotřeba zemního plynu a teplota ovzduší podle krajů: "&amp;LOWER(A3)</f>
        <v>6.10 Spotřeba zemního plynu a teplota ovzduší podle krajů: březen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6" customHeight="1">
      <c r="A2" s="489"/>
      <c r="B2" s="489"/>
      <c r="C2" s="267"/>
      <c r="D2" s="268"/>
      <c r="E2" s="269"/>
      <c r="F2" s="269"/>
      <c r="G2" s="269"/>
      <c r="H2" s="269"/>
    </row>
    <row r="3" spans="1:11" ht="20.100000000000001" customHeight="1">
      <c r="A3" s="447" t="str">
        <f>'3.1'!F5</f>
        <v>Březen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0.100000000000001" customHeight="1">
      <c r="A4" s="112"/>
      <c r="B4" s="230">
        <f>'3.1'!A4</f>
        <v>2026</v>
      </c>
      <c r="C4" s="503" t="s">
        <v>59</v>
      </c>
      <c r="D4" s="504"/>
      <c r="E4" s="504"/>
      <c r="F4" s="505"/>
      <c r="G4" s="506" t="s">
        <v>182</v>
      </c>
      <c r="H4" s="506"/>
      <c r="I4" s="506"/>
      <c r="J4" s="506"/>
      <c r="K4" s="506"/>
    </row>
    <row r="5" spans="1:11" ht="49.5" customHeight="1">
      <c r="A5" s="250"/>
      <c r="B5" s="456" t="s">
        <v>181</v>
      </c>
      <c r="C5" s="312"/>
      <c r="D5" s="313"/>
      <c r="E5" s="456" t="s">
        <v>265</v>
      </c>
      <c r="F5" s="490" t="s">
        <v>268</v>
      </c>
      <c r="G5" s="335" t="s">
        <v>61</v>
      </c>
      <c r="H5" s="335" t="s">
        <v>170</v>
      </c>
      <c r="I5" s="335" t="s">
        <v>171</v>
      </c>
      <c r="J5" s="335" t="s">
        <v>270</v>
      </c>
      <c r="K5" s="335" t="s">
        <v>271</v>
      </c>
    </row>
    <row r="6" spans="1:11" ht="15" customHeight="1">
      <c r="A6" s="199" t="s">
        <v>183</v>
      </c>
      <c r="B6" s="451"/>
      <c r="C6" s="201" t="s">
        <v>247</v>
      </c>
      <c r="D6" s="199" t="s">
        <v>248</v>
      </c>
      <c r="E6" s="451"/>
      <c r="F6" s="491"/>
      <c r="G6" s="199" t="s">
        <v>218</v>
      </c>
      <c r="H6" s="199" t="s">
        <v>218</v>
      </c>
      <c r="I6" s="199" t="s">
        <v>218</v>
      </c>
      <c r="J6" s="199" t="s">
        <v>218</v>
      </c>
      <c r="K6" s="199" t="s">
        <v>218</v>
      </c>
    </row>
    <row r="7" spans="1:11" ht="14.1" customHeight="1">
      <c r="A7" s="135" t="s">
        <v>8</v>
      </c>
      <c r="B7" s="113">
        <f>'6.1'!D26</f>
        <v>101350</v>
      </c>
      <c r="C7" s="280">
        <f>'6.1'!E26</f>
        <v>26233.470033999998</v>
      </c>
      <c r="D7" s="113">
        <f>'6.1'!F26</f>
        <v>287634.43402599997</v>
      </c>
      <c r="E7" s="274">
        <f>D7/$D$21</f>
        <v>3.699984493523175E-2</v>
      </c>
      <c r="F7" s="299">
        <f>'6.1'!H26</f>
        <v>-3.2328593503174172E-2</v>
      </c>
      <c r="G7" s="293">
        <v>4.5709677419354824</v>
      </c>
      <c r="H7" s="294">
        <v>8.6999999999999993</v>
      </c>
      <c r="I7" s="294">
        <v>1.5</v>
      </c>
      <c r="J7" s="294">
        <v>3.0999999999999988</v>
      </c>
      <c r="K7" s="293">
        <v>1.4709677419354836</v>
      </c>
    </row>
    <row r="8" spans="1:11" ht="14.1" customHeight="1">
      <c r="A8" s="135" t="s">
        <v>9</v>
      </c>
      <c r="B8" s="113">
        <f>'6.1'!D56</f>
        <v>370407</v>
      </c>
      <c r="C8" s="280">
        <f>'6.1'!E56</f>
        <v>85172.9</v>
      </c>
      <c r="D8" s="113">
        <f>'6.1'!F56</f>
        <v>934712.02200000011</v>
      </c>
      <c r="E8" s="274">
        <f t="shared" ref="E8:E20" si="0">D8/$D$21</f>
        <v>0.12023664687507749</v>
      </c>
      <c r="F8" s="299">
        <f>'6.1'!H56</f>
        <v>-8.7378131037194773E-2</v>
      </c>
      <c r="G8" s="293">
        <v>7.2451612903225797</v>
      </c>
      <c r="H8" s="294">
        <v>12.5</v>
      </c>
      <c r="I8" s="294">
        <v>5.0999999999999996</v>
      </c>
      <c r="J8" s="294">
        <v>4.2000000000000011</v>
      </c>
      <c r="K8" s="293">
        <v>3.0451612903225787</v>
      </c>
    </row>
    <row r="9" spans="1:11" ht="14.1" customHeight="1">
      <c r="A9" s="135" t="s">
        <v>10</v>
      </c>
      <c r="B9" s="113">
        <f>'6.2'!D26</f>
        <v>78689</v>
      </c>
      <c r="C9" s="280">
        <f>'6.2'!E26</f>
        <v>18546.900000000001</v>
      </c>
      <c r="D9" s="113">
        <f>'6.2'!F26</f>
        <v>203539.21262999999</v>
      </c>
      <c r="E9" s="274">
        <f t="shared" si="0"/>
        <v>2.6182259196645508E-2</v>
      </c>
      <c r="F9" s="299">
        <f>'6.2'!H26</f>
        <v>-9.2826013587873429E-2</v>
      </c>
      <c r="G9" s="293">
        <v>3.5709677419354842</v>
      </c>
      <c r="H9" s="294">
        <v>6.5</v>
      </c>
      <c r="I9" s="294">
        <v>-0.6</v>
      </c>
      <c r="J9" s="294">
        <v>2.7000000000000015</v>
      </c>
      <c r="K9" s="293">
        <v>0.87096774193548265</v>
      </c>
    </row>
    <row r="10" spans="1:11" ht="14.1" customHeight="1">
      <c r="A10" s="135" t="s">
        <v>89</v>
      </c>
      <c r="B10" s="113">
        <f>'6.2'!D56</f>
        <v>113346</v>
      </c>
      <c r="C10" s="280">
        <f>'6.2'!E56</f>
        <v>29624.5</v>
      </c>
      <c r="D10" s="113">
        <f>'6.2'!F56</f>
        <v>325108.22678999999</v>
      </c>
      <c r="E10" s="274">
        <f t="shared" si="0"/>
        <v>4.1820284901323147E-2</v>
      </c>
      <c r="F10" s="299">
        <f>'6.2'!H56</f>
        <v>9.7901531314912663E-5</v>
      </c>
      <c r="G10" s="293">
        <v>5.0193548387096785</v>
      </c>
      <c r="H10" s="294">
        <v>10.9</v>
      </c>
      <c r="I10" s="294">
        <v>1.9</v>
      </c>
      <c r="J10" s="294">
        <v>2.5999999999999992</v>
      </c>
      <c r="K10" s="293">
        <v>2.4193548387096793</v>
      </c>
    </row>
    <row r="11" spans="1:11" ht="14.1" customHeight="1">
      <c r="A11" s="135" t="s">
        <v>11</v>
      </c>
      <c r="B11" s="113">
        <f>'6.3'!D26</f>
        <v>90227</v>
      </c>
      <c r="C11" s="280">
        <f>'6.3'!E26</f>
        <v>28131.795000000002</v>
      </c>
      <c r="D11" s="113">
        <f>'6.3'!F26</f>
        <v>308721.56764999998</v>
      </c>
      <c r="E11" s="274">
        <f t="shared" si="0"/>
        <v>3.9712387600224303E-2</v>
      </c>
      <c r="F11" s="299">
        <f>'6.3'!H26</f>
        <v>-1.8994821543772585E-2</v>
      </c>
      <c r="G11" s="293">
        <v>5.0322580645161272</v>
      </c>
      <c r="H11" s="294">
        <v>10.1</v>
      </c>
      <c r="I11" s="294">
        <v>1.6</v>
      </c>
      <c r="J11" s="294">
        <v>2.7999999999999985</v>
      </c>
      <c r="K11" s="293">
        <v>2.2322580645161287</v>
      </c>
    </row>
    <row r="12" spans="1:11" ht="14.1" customHeight="1">
      <c r="A12" s="135" t="s">
        <v>12</v>
      </c>
      <c r="B12" s="113">
        <f>'6.3'!D56</f>
        <v>352257</v>
      </c>
      <c r="C12" s="280">
        <f>'6.3'!E56</f>
        <v>82626.978000000003</v>
      </c>
      <c r="D12" s="113">
        <f>'6.3'!F56</f>
        <v>906497.40106499998</v>
      </c>
      <c r="E12" s="274">
        <f t="shared" si="0"/>
        <v>0.11660726013966671</v>
      </c>
      <c r="F12" s="299">
        <f>'6.3'!H56</f>
        <v>-6.0575687057611094E-3</v>
      </c>
      <c r="G12" s="293">
        <v>6.0354838709677425</v>
      </c>
      <c r="H12" s="294">
        <v>12</v>
      </c>
      <c r="I12" s="294">
        <v>2.7</v>
      </c>
      <c r="J12" s="294">
        <v>2.9000000000000008</v>
      </c>
      <c r="K12" s="293">
        <v>3.1354838709677417</v>
      </c>
    </row>
    <row r="13" spans="1:11" ht="14.1" customHeight="1">
      <c r="A13" s="135" t="s">
        <v>13</v>
      </c>
      <c r="B13" s="113">
        <f>'6.4'!D26</f>
        <v>178350</v>
      </c>
      <c r="C13" s="280">
        <f>'6.4'!E26</f>
        <v>43635.299999999996</v>
      </c>
      <c r="D13" s="113">
        <f>'6.4'!F26</f>
        <v>478867.20264999999</v>
      </c>
      <c r="E13" s="274">
        <f t="shared" si="0"/>
        <v>6.1599065155796412E-2</v>
      </c>
      <c r="F13" s="299">
        <f>'6.4'!H26</f>
        <v>-1.826661746971691E-2</v>
      </c>
      <c r="G13" s="293">
        <v>5.9161290322580626</v>
      </c>
      <c r="H13" s="294">
        <v>11.8</v>
      </c>
      <c r="I13" s="294">
        <v>3.2</v>
      </c>
      <c r="J13" s="294">
        <v>2.5</v>
      </c>
      <c r="K13" s="293">
        <v>3.4161290322580626</v>
      </c>
    </row>
    <row r="14" spans="1:11" ht="14.1" customHeight="1">
      <c r="A14" s="135" t="s">
        <v>14</v>
      </c>
      <c r="B14" s="113">
        <f>'6.4'!D56</f>
        <v>132472</v>
      </c>
      <c r="C14" s="280">
        <f>'6.4'!E56</f>
        <v>31789.673000000003</v>
      </c>
      <c r="D14" s="113">
        <f>'6.4'!F56</f>
        <v>348861.78841399995</v>
      </c>
      <c r="E14" s="274">
        <f t="shared" si="0"/>
        <v>4.4875823434891167E-2</v>
      </c>
      <c r="F14" s="299">
        <f>'6.4'!H56</f>
        <v>-1.2998376910518873E-2</v>
      </c>
      <c r="G14" s="293">
        <v>5.4806451612903206</v>
      </c>
      <c r="H14" s="294">
        <v>11.1</v>
      </c>
      <c r="I14" s="294">
        <v>2.5</v>
      </c>
      <c r="J14" s="294">
        <v>3.5999999999999979</v>
      </c>
      <c r="K14" s="293">
        <v>1.8806451612903228</v>
      </c>
    </row>
    <row r="15" spans="1:11" ht="14.1" customHeight="1">
      <c r="A15" s="135" t="s">
        <v>15</v>
      </c>
      <c r="B15" s="113">
        <f>'6.5'!D26</f>
        <v>154057</v>
      </c>
      <c r="C15" s="280">
        <f>'6.5'!E26</f>
        <v>33073.066000000006</v>
      </c>
      <c r="D15" s="113">
        <f>'6.5'!F26</f>
        <v>362953.16343999997</v>
      </c>
      <c r="E15" s="274">
        <f t="shared" si="0"/>
        <v>4.6688466947660115E-2</v>
      </c>
      <c r="F15" s="299">
        <f>'6.5'!H26</f>
        <v>-3.1138211858448377E-2</v>
      </c>
      <c r="G15" s="293">
        <v>4.5483870967741931</v>
      </c>
      <c r="H15" s="294">
        <v>7.3</v>
      </c>
      <c r="I15" s="294">
        <v>0.9</v>
      </c>
      <c r="J15" s="294">
        <v>3.4000000000000017</v>
      </c>
      <c r="K15" s="293">
        <v>1.1483870967741914</v>
      </c>
    </row>
    <row r="16" spans="1:11" ht="14.1" customHeight="1">
      <c r="A16" s="135" t="s">
        <v>1</v>
      </c>
      <c r="B16" s="113">
        <f>'6.5'!D56</f>
        <v>367873</v>
      </c>
      <c r="C16" s="280">
        <f>'6.5'!E56</f>
        <v>70189.419323488997</v>
      </c>
      <c r="D16" s="113">
        <f>'6.5'!F56</f>
        <v>771748.58741414396</v>
      </c>
      <c r="E16" s="274">
        <f t="shared" si="0"/>
        <v>9.9273851407951919E-2</v>
      </c>
      <c r="F16" s="299">
        <f>'6.5'!H56</f>
        <v>-2.7784255177773165E-2</v>
      </c>
      <c r="G16" s="293">
        <v>7.0322580645161308</v>
      </c>
      <c r="H16" s="294">
        <v>10.4</v>
      </c>
      <c r="I16" s="294">
        <v>1.8</v>
      </c>
      <c r="J16" s="294">
        <v>4.599999999999997</v>
      </c>
      <c r="K16" s="293">
        <v>2.4322580645161338</v>
      </c>
    </row>
    <row r="17" spans="1:16" ht="14.1" customHeight="1">
      <c r="A17" s="135" t="s">
        <v>16</v>
      </c>
      <c r="B17" s="113">
        <f>'6.6'!D26</f>
        <v>279617</v>
      </c>
      <c r="C17" s="280">
        <f>'6.6'!E26</f>
        <v>98553.042106879991</v>
      </c>
      <c r="D17" s="113">
        <f>'6.6'!F26</f>
        <v>1081733.7417068989</v>
      </c>
      <c r="E17" s="274">
        <f t="shared" si="0"/>
        <v>0.139148780429903</v>
      </c>
      <c r="F17" s="299">
        <f>'6.6'!H26</f>
        <v>1.1049932482994226E-2</v>
      </c>
      <c r="G17" s="293">
        <v>5.5967741935483861</v>
      </c>
      <c r="H17" s="294">
        <v>9.1999999999999993</v>
      </c>
      <c r="I17" s="294">
        <v>2</v>
      </c>
      <c r="J17" s="294">
        <v>4.2999999999999989</v>
      </c>
      <c r="K17" s="293">
        <v>1.2967741935483872</v>
      </c>
      <c r="L17" s="68"/>
      <c r="N17" s="68"/>
      <c r="O17" s="68"/>
      <c r="P17" s="68"/>
    </row>
    <row r="18" spans="1:16" ht="14.1" customHeight="1">
      <c r="A18" s="135" t="s">
        <v>17</v>
      </c>
      <c r="B18" s="113">
        <f>'6.6'!D56</f>
        <v>207592</v>
      </c>
      <c r="C18" s="280">
        <f>'6.6'!E56</f>
        <v>97152.344000000012</v>
      </c>
      <c r="D18" s="113">
        <f>'6.6'!F56</f>
        <v>1067046.2651169999</v>
      </c>
      <c r="E18" s="274">
        <f t="shared" si="0"/>
        <v>0.13725945741419276</v>
      </c>
      <c r="F18" s="299">
        <f>'6.6'!H56</f>
        <v>-8.8682683814740162E-2</v>
      </c>
      <c r="G18" s="293">
        <v>5.2</v>
      </c>
      <c r="H18" s="294">
        <v>8.9</v>
      </c>
      <c r="I18" s="294">
        <v>1.4</v>
      </c>
      <c r="J18" s="294">
        <v>4.2999999999999989</v>
      </c>
      <c r="K18" s="293">
        <v>0.90000000000000124</v>
      </c>
      <c r="L18" s="68"/>
      <c r="N18" s="68"/>
      <c r="O18" s="68"/>
      <c r="P18" s="68"/>
    </row>
    <row r="19" spans="1:16" ht="14.1" customHeight="1">
      <c r="A19" s="135" t="s">
        <v>18</v>
      </c>
      <c r="B19" s="113">
        <f>'6.7'!D26</f>
        <v>118400</v>
      </c>
      <c r="C19" s="280">
        <f>'6.7'!E26</f>
        <v>28691.359966999997</v>
      </c>
      <c r="D19" s="113">
        <f>'6.7'!F26</f>
        <v>314830.26645899995</v>
      </c>
      <c r="E19" s="274">
        <f t="shared" si="0"/>
        <v>4.0498179848827628E-2</v>
      </c>
      <c r="F19" s="299">
        <f>'6.7'!H26</f>
        <v>-1.2451138665237985E-2</v>
      </c>
      <c r="G19" s="293">
        <v>5.1161290322580637</v>
      </c>
      <c r="H19" s="294">
        <v>9.6</v>
      </c>
      <c r="I19" s="294">
        <v>2.4</v>
      </c>
      <c r="J19" s="294">
        <v>2.5</v>
      </c>
      <c r="K19" s="293">
        <v>2.6161290322580637</v>
      </c>
      <c r="L19" s="68"/>
      <c r="N19" s="68"/>
      <c r="O19" s="68"/>
      <c r="P19" s="68"/>
    </row>
    <row r="20" spans="1:16" ht="14.1" customHeight="1">
      <c r="A20" s="140" t="s">
        <v>19</v>
      </c>
      <c r="B20" s="277">
        <f>'6.7'!D56</f>
        <v>150586</v>
      </c>
      <c r="C20" s="281">
        <f>'6.7'!E56</f>
        <v>34779.700000000004</v>
      </c>
      <c r="D20" s="277">
        <f>'6.7'!F56</f>
        <v>381682.32306000002</v>
      </c>
      <c r="E20" s="278">
        <f t="shared" si="0"/>
        <v>4.9097691712607992E-2</v>
      </c>
      <c r="F20" s="300">
        <f>'6.7'!H56</f>
        <v>-5.6494186456586958E-2</v>
      </c>
      <c r="G20" s="295">
        <v>5.8129032258064504</v>
      </c>
      <c r="H20" s="296">
        <v>11.8</v>
      </c>
      <c r="I20" s="296">
        <v>2.1</v>
      </c>
      <c r="J20" s="296">
        <v>3.9000000000000021</v>
      </c>
      <c r="K20" s="295">
        <v>1.9129032258064482</v>
      </c>
      <c r="L20" s="68"/>
    </row>
    <row r="21" spans="1:16" ht="14.1" customHeight="1">
      <c r="A21" s="135" t="s">
        <v>0</v>
      </c>
      <c r="B21" s="137">
        <f>SUM(B7:B20)</f>
        <v>2695223</v>
      </c>
      <c r="C21" s="280">
        <f>SUM(C7:C20)</f>
        <v>708200.44743136887</v>
      </c>
      <c r="D21" s="113">
        <f>SUM(D7:D20)</f>
        <v>7773936.2024220433</v>
      </c>
      <c r="E21" s="333">
        <f>SUM(E7:E20)</f>
        <v>0.99999999999999989</v>
      </c>
      <c r="F21" s="299"/>
      <c r="G21" s="234">
        <v>5.3870967741935489</v>
      </c>
      <c r="H21" s="234">
        <v>9.6999999999999993</v>
      </c>
      <c r="I21" s="234">
        <v>2.4</v>
      </c>
      <c r="J21" s="234">
        <v>3.4870967741935481</v>
      </c>
      <c r="K21" s="234">
        <v>1.9000000000000008</v>
      </c>
    </row>
    <row r="22" spans="1:16" ht="14.1" customHeight="1">
      <c r="A22" s="140" t="s">
        <v>91</v>
      </c>
      <c r="B22" s="334"/>
      <c r="C22" s="281">
        <f>'5.1'!E27</f>
        <v>12805.241566671</v>
      </c>
      <c r="D22" s="277">
        <f>'5.1'!F27</f>
        <v>140578.78254300004</v>
      </c>
      <c r="E22" s="334"/>
      <c r="F22" s="300">
        <f>'5.1'!H27</f>
        <v>-0.18437504911991856</v>
      </c>
      <c r="G22" s="240">
        <v>5.3870967741935489</v>
      </c>
      <c r="H22" s="240">
        <v>9.6999999999999993</v>
      </c>
      <c r="I22" s="240">
        <v>2.4</v>
      </c>
      <c r="J22" s="240">
        <v>3.4870967741935481</v>
      </c>
      <c r="K22" s="240">
        <v>1.9000000000000008</v>
      </c>
    </row>
    <row r="23" spans="1:16" ht="14.1" customHeight="1">
      <c r="A23" s="140" t="s">
        <v>54</v>
      </c>
      <c r="B23" s="142">
        <f>B21+B22</f>
        <v>2695223</v>
      </c>
      <c r="C23" s="281">
        <f t="shared" ref="C23:D23" si="1">C21+C22</f>
        <v>721005.68899803981</v>
      </c>
      <c r="D23" s="277">
        <f t="shared" si="1"/>
        <v>7914514.9849650431</v>
      </c>
      <c r="E23" s="334"/>
      <c r="F23" s="300">
        <f>'5.1'!H28</f>
        <v>-3.9933326417876606E-2</v>
      </c>
      <c r="G23" s="240">
        <v>5.3870967741935489</v>
      </c>
      <c r="H23" s="240">
        <v>9.6999999999999993</v>
      </c>
      <c r="I23" s="240">
        <v>2.4</v>
      </c>
      <c r="J23" s="240">
        <v>3.4870967741935481</v>
      </c>
      <c r="K23" s="240">
        <v>1.9000000000000008</v>
      </c>
    </row>
    <row r="24" spans="1:16" ht="15" customHeight="1">
      <c r="A24" s="90"/>
      <c r="B24" s="83"/>
      <c r="C24" s="480" t="s">
        <v>230</v>
      </c>
      <c r="D24" s="480"/>
      <c r="E24" s="480"/>
      <c r="F24" s="480"/>
      <c r="G24" s="483" t="s">
        <v>228</v>
      </c>
      <c r="H24" s="483"/>
      <c r="I24" s="483"/>
      <c r="J24" s="483"/>
      <c r="K24" s="483"/>
    </row>
    <row r="25" spans="1:16" ht="15" customHeight="1">
      <c r="A25" s="83"/>
      <c r="B25" s="83"/>
      <c r="C25" s="480"/>
      <c r="D25" s="480"/>
      <c r="E25" s="480"/>
      <c r="F25" s="480"/>
      <c r="G25" s="483" t="s">
        <v>229</v>
      </c>
      <c r="H25" s="483"/>
      <c r="I25" s="483"/>
      <c r="J25" s="483"/>
      <c r="K25" s="483"/>
    </row>
    <row r="26" spans="1:16" ht="30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6" ht="15" customHeight="1">
      <c r="A27" s="77"/>
      <c r="B27" s="77"/>
      <c r="C27" s="83"/>
      <c r="D27" s="88"/>
      <c r="E27" s="89"/>
      <c r="F27" s="89"/>
      <c r="G27" s="83"/>
      <c r="H27" s="90"/>
      <c r="I27" s="77"/>
      <c r="J27" s="83"/>
      <c r="K27" s="83"/>
    </row>
    <row r="28" spans="1:16" ht="18" customHeight="1">
      <c r="A28" s="83"/>
      <c r="B28" s="83"/>
      <c r="C28" s="83"/>
      <c r="D28" s="88"/>
      <c r="E28" s="89"/>
      <c r="F28" s="89"/>
      <c r="G28" s="83"/>
      <c r="H28" s="83"/>
      <c r="I28" s="83"/>
      <c r="J28" s="83"/>
      <c r="K28" s="83"/>
    </row>
    <row r="29" spans="1:16" ht="15" customHeight="1">
      <c r="A29" s="465" t="s">
        <v>243</v>
      </c>
      <c r="B29" s="465"/>
      <c r="C29" s="465"/>
      <c r="D29" s="465"/>
      <c r="E29" s="465"/>
      <c r="F29" s="465" t="s">
        <v>60</v>
      </c>
      <c r="G29" s="465"/>
      <c r="H29" s="465"/>
      <c r="I29" s="465"/>
      <c r="J29" s="465"/>
      <c r="K29" s="465"/>
    </row>
    <row r="30" spans="1:16" ht="15" customHeight="1">
      <c r="A30" s="105"/>
      <c r="B30" s="481"/>
      <c r="C30" s="481"/>
      <c r="D30" s="105"/>
      <c r="E30" s="105"/>
      <c r="F30" s="105"/>
      <c r="G30" s="105"/>
      <c r="H30" s="481"/>
      <c r="I30" s="481"/>
      <c r="J30" s="105"/>
      <c r="K30" s="105"/>
    </row>
    <row r="31" spans="1:16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6" ht="1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1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1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1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7"/>
  <sheetViews>
    <sheetView showGridLines="0" topLeftCell="A3" zoomScaleNormal="100" zoomScaleSheetLayoutView="100" workbookViewId="0">
      <selection activeCell="C1" sqref="C1"/>
    </sheetView>
  </sheetViews>
  <sheetFormatPr defaultColWidth="9.140625" defaultRowHeight="12.75"/>
  <cols>
    <col min="1" max="1" width="16.28515625" style="67" customWidth="1"/>
    <col min="2" max="2" width="10.28515625" style="67" customWidth="1"/>
    <col min="3" max="3" width="10" style="67" customWidth="1"/>
    <col min="4" max="4" width="10.7109375" style="67" customWidth="1"/>
    <col min="5" max="6" width="8.5703125" style="67" customWidth="1"/>
    <col min="7" max="10" width="6.7109375" style="67" customWidth="1"/>
    <col min="11" max="11" width="8.140625" style="67" customWidth="1"/>
    <col min="12" max="13" width="9.140625" style="67"/>
    <col min="14" max="14" width="11.140625" style="67" customWidth="1"/>
    <col min="15" max="16384" width="9.140625" style="67"/>
  </cols>
  <sheetData>
    <row r="1" spans="1:11" s="93" customFormat="1" ht="18">
      <c r="A1" s="485" t="str">
        <f>"6.11 Spotřeba zemního plynu a teplota ovzduší podle krajů: "&amp;(A3)</f>
        <v>6.11 Spotřeba zemního plynu a teplota ovzduší podle krajů: I. čtvrtletí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1" ht="6" customHeight="1">
      <c r="A2" s="489"/>
      <c r="B2" s="489"/>
      <c r="C2" s="267"/>
      <c r="D2" s="268"/>
      <c r="E2" s="269"/>
      <c r="F2" s="269"/>
      <c r="G2" s="269"/>
      <c r="H2" s="269"/>
    </row>
    <row r="3" spans="1:11" ht="20.100000000000001" customHeight="1">
      <c r="A3" s="507" t="str">
        <f>'3.1'!G5</f>
        <v>I. čtvrtletí</v>
      </c>
      <c r="B3" s="447"/>
      <c r="C3" s="447"/>
      <c r="D3" s="447"/>
      <c r="E3" s="447"/>
      <c r="F3" s="447"/>
      <c r="G3" s="447"/>
      <c r="H3" s="447"/>
      <c r="I3" s="447"/>
      <c r="J3" s="447"/>
      <c r="K3" s="447"/>
    </row>
    <row r="4" spans="1:11" ht="20.100000000000001" customHeight="1">
      <c r="A4" s="112"/>
      <c r="B4" s="230">
        <f>'3.1'!A4</f>
        <v>2026</v>
      </c>
      <c r="C4" s="503" t="s">
        <v>59</v>
      </c>
      <c r="D4" s="504"/>
      <c r="E4" s="504"/>
      <c r="F4" s="505"/>
      <c r="G4" s="506" t="s">
        <v>182</v>
      </c>
      <c r="H4" s="506"/>
      <c r="I4" s="506"/>
      <c r="J4" s="506"/>
      <c r="K4" s="506"/>
    </row>
    <row r="5" spans="1:11" ht="49.5" customHeight="1">
      <c r="A5" s="250"/>
      <c r="B5" s="456" t="s">
        <v>181</v>
      </c>
      <c r="C5" s="312"/>
      <c r="D5" s="313"/>
      <c r="E5" s="456" t="s">
        <v>265</v>
      </c>
      <c r="F5" s="490" t="s">
        <v>268</v>
      </c>
      <c r="G5" s="335" t="s">
        <v>61</v>
      </c>
      <c r="H5" s="335" t="s">
        <v>170</v>
      </c>
      <c r="I5" s="335" t="s">
        <v>171</v>
      </c>
      <c r="J5" s="335" t="s">
        <v>270</v>
      </c>
      <c r="K5" s="335" t="s">
        <v>271</v>
      </c>
    </row>
    <row r="6" spans="1:11" ht="15" customHeight="1">
      <c r="A6" s="199" t="s">
        <v>183</v>
      </c>
      <c r="B6" s="451"/>
      <c r="C6" s="201" t="s">
        <v>247</v>
      </c>
      <c r="D6" s="199" t="s">
        <v>248</v>
      </c>
      <c r="E6" s="451"/>
      <c r="F6" s="491"/>
      <c r="G6" s="199" t="s">
        <v>218</v>
      </c>
      <c r="H6" s="199" t="s">
        <v>218</v>
      </c>
      <c r="I6" s="199" t="s">
        <v>218</v>
      </c>
      <c r="J6" s="199" t="s">
        <v>218</v>
      </c>
      <c r="K6" s="199" t="s">
        <v>218</v>
      </c>
    </row>
    <row r="7" spans="1:11" ht="14.1" customHeight="1">
      <c r="A7" s="135" t="s">
        <v>8</v>
      </c>
      <c r="B7" s="113">
        <f>'6.1'!D32</f>
        <v>101350</v>
      </c>
      <c r="C7" s="280">
        <f>'6.1'!E32</f>
        <v>101489.26576799998</v>
      </c>
      <c r="D7" s="113">
        <f>'6.1'!F32</f>
        <v>1111025.689949</v>
      </c>
      <c r="E7" s="274">
        <f>D7/$D$21</f>
        <v>3.5839968435768588E-2</v>
      </c>
      <c r="F7" s="299">
        <f>'6.1'!H32</f>
        <v>3.3576342435601848E-2</v>
      </c>
      <c r="G7" s="293">
        <f>AVERAGE('6.8'!G7,'6.9'!G7,'6.10'!G7)</f>
        <v>1.1319508448540703</v>
      </c>
      <c r="H7" s="294">
        <f>MAX('6.8'!H7,'6.9'!H7,'6.10'!H7)</f>
        <v>8.6999999999999993</v>
      </c>
      <c r="I7" s="294">
        <f>MIN('6.8'!I7,'6.9'!I7,'6.10'!I7)</f>
        <v>-8.8000000000000007</v>
      </c>
      <c r="J7" s="294">
        <f>AVERAGE('6.8'!J7,'6.9'!J7,'6.10'!J7)</f>
        <v>0.13333333333333316</v>
      </c>
      <c r="K7" s="293">
        <f>G7-J7</f>
        <v>0.99861751152073708</v>
      </c>
    </row>
    <row r="8" spans="1:11" ht="14.1" customHeight="1">
      <c r="A8" s="135" t="s">
        <v>9</v>
      </c>
      <c r="B8" s="113">
        <f>'6.1'!D62</f>
        <v>370407</v>
      </c>
      <c r="C8" s="280">
        <f>'6.1'!E62</f>
        <v>354925.30000000005</v>
      </c>
      <c r="D8" s="113">
        <f>'6.1'!F62</f>
        <v>3882871.1448600003</v>
      </c>
      <c r="E8" s="274">
        <f t="shared" ref="E8:E20" si="0">D8/$D$21</f>
        <v>0.12525541086122596</v>
      </c>
      <c r="F8" s="299">
        <f>'6.1'!H62</f>
        <v>-1.5556100426644997E-2</v>
      </c>
      <c r="G8" s="293">
        <f>AVERAGE('6.8'!G8,'6.9'!G8,'6.10'!G8)</f>
        <v>2.3260368663594471</v>
      </c>
      <c r="H8" s="294">
        <f>MAX('6.8'!H8,'6.9'!H8,'6.10'!H8)</f>
        <v>12.5</v>
      </c>
      <c r="I8" s="294">
        <f>MIN('6.8'!I8,'6.9'!I8,'6.10'!I8)</f>
        <v>-7.9</v>
      </c>
      <c r="J8" s="294">
        <f>AVERAGE('6.8'!J8,'6.9'!J8,'6.10'!J8)</f>
        <v>0.80000000000000016</v>
      </c>
      <c r="K8" s="293">
        <f t="shared" ref="K8:K23" si="1">G8-J8</f>
        <v>1.5260368663594468</v>
      </c>
    </row>
    <row r="9" spans="1:11" ht="14.1" customHeight="1">
      <c r="A9" s="135" t="s">
        <v>10</v>
      </c>
      <c r="B9" s="113">
        <f>'6.2'!D32</f>
        <v>78689</v>
      </c>
      <c r="C9" s="280">
        <f>'6.2'!E32</f>
        <v>89816.299999999988</v>
      </c>
      <c r="D9" s="113">
        <f>'6.2'!F32</f>
        <v>982478.72028999997</v>
      </c>
      <c r="E9" s="274">
        <f t="shared" si="0"/>
        <v>3.1693242237831841E-2</v>
      </c>
      <c r="F9" s="299">
        <f>'6.2'!H32</f>
        <v>0.16438283352606545</v>
      </c>
      <c r="G9" s="293">
        <f>AVERAGE('6.8'!G9,'6.9'!G9,'6.10'!G9)</f>
        <v>0.26109831029185848</v>
      </c>
      <c r="H9" s="294">
        <f>MAX('6.8'!H9,'6.9'!H9,'6.10'!H9)</f>
        <v>6.7</v>
      </c>
      <c r="I9" s="294">
        <f>MIN('6.8'!I9,'6.9'!I9,'6.10'!I9)</f>
        <v>-10.3</v>
      </c>
      <c r="J9" s="294">
        <f>AVERAGE('6.8'!J9,'6.9'!J9,'6.10'!J9)</f>
        <v>-0.133333333333333</v>
      </c>
      <c r="K9" s="293">
        <f t="shared" si="1"/>
        <v>0.39443164362519145</v>
      </c>
    </row>
    <row r="10" spans="1:11" ht="14.1" customHeight="1">
      <c r="A10" s="135" t="s">
        <v>89</v>
      </c>
      <c r="B10" s="113">
        <f>'6.2'!D62</f>
        <v>113346</v>
      </c>
      <c r="C10" s="280">
        <f>'6.2'!E62</f>
        <v>120586.1</v>
      </c>
      <c r="D10" s="113">
        <f>'6.2'!F62</f>
        <v>1319279.8150199999</v>
      </c>
      <c r="E10" s="274">
        <f t="shared" si="0"/>
        <v>4.2557924048033366E-2</v>
      </c>
      <c r="F10" s="299">
        <f>'6.2'!H62</f>
        <v>6.9413466407589275E-2</v>
      </c>
      <c r="G10" s="293">
        <f>AVERAGE('6.8'!G10,'6.9'!G10,'6.10'!G10)</f>
        <v>0.95756528417818776</v>
      </c>
      <c r="H10" s="294">
        <f>MAX('6.8'!H10,'6.9'!H10,'6.10'!H10)</f>
        <v>10.9</v>
      </c>
      <c r="I10" s="294">
        <f>MIN('6.8'!I10,'6.9'!I10,'6.10'!I10)</f>
        <v>-11.9</v>
      </c>
      <c r="J10" s="294">
        <f>AVERAGE('6.8'!J10,'6.9'!J10,'6.10'!J10)</f>
        <v>-0.26666666666666661</v>
      </c>
      <c r="K10" s="293">
        <f t="shared" si="1"/>
        <v>1.2242319508448545</v>
      </c>
    </row>
    <row r="11" spans="1:11" ht="14.1" customHeight="1">
      <c r="A11" s="135" t="s">
        <v>11</v>
      </c>
      <c r="B11" s="113">
        <f>'6.3'!D32</f>
        <v>90227</v>
      </c>
      <c r="C11" s="280">
        <f>'6.3'!E32</f>
        <v>111125.079</v>
      </c>
      <c r="D11" s="113">
        <f>'6.3'!F32</f>
        <v>1215737.9216499999</v>
      </c>
      <c r="E11" s="274">
        <f t="shared" si="0"/>
        <v>3.9217822893098907E-2</v>
      </c>
      <c r="F11" s="299">
        <f>'6.3'!H32</f>
        <v>2.1439684316764119E-2</v>
      </c>
      <c r="G11" s="293">
        <f>AVERAGE('6.8'!G11,'6.9'!G11,'6.10'!G11)</f>
        <v>1.3543010752688165</v>
      </c>
      <c r="H11" s="294">
        <f>MAX('6.8'!H11,'6.9'!H11,'6.10'!H11)</f>
        <v>10.1</v>
      </c>
      <c r="I11" s="294">
        <f>MIN('6.8'!I11,'6.9'!I11,'6.10'!I11)</f>
        <v>-8.8000000000000007</v>
      </c>
      <c r="J11" s="294">
        <f>AVERAGE('6.8'!J11,'6.9'!J11,'6.10'!J11)</f>
        <v>0.13333333333333272</v>
      </c>
      <c r="K11" s="293">
        <f t="shared" si="1"/>
        <v>1.2209677419354839</v>
      </c>
    </row>
    <row r="12" spans="1:11" ht="14.1" customHeight="1">
      <c r="A12" s="135" t="s">
        <v>12</v>
      </c>
      <c r="B12" s="113">
        <f>'6.3'!D62</f>
        <v>352257</v>
      </c>
      <c r="C12" s="280">
        <f>'6.3'!E62</f>
        <v>314041.67599999998</v>
      </c>
      <c r="D12" s="113">
        <f>'6.3'!F62</f>
        <v>3435112.5343849999</v>
      </c>
      <c r="E12" s="274">
        <f t="shared" si="0"/>
        <v>0.11081141140068759</v>
      </c>
      <c r="F12" s="299">
        <f>'6.3'!H62</f>
        <v>6.3501626318434978E-2</v>
      </c>
      <c r="G12" s="293">
        <f>AVERAGE('6.8'!G12,'6.9'!G12,'6.10'!G12)</f>
        <v>1.3818740399385563</v>
      </c>
      <c r="H12" s="294">
        <f>MAX('6.8'!H12,'6.9'!H12,'6.10'!H12)</f>
        <v>12</v>
      </c>
      <c r="I12" s="294">
        <f>MIN('6.8'!I12,'6.9'!I12,'6.10'!I12)</f>
        <v>-9.3000000000000007</v>
      </c>
      <c r="J12" s="294">
        <f>AVERAGE('6.8'!J12,'6.9'!J12,'6.10'!J12)</f>
        <v>6.6666666666667165E-2</v>
      </c>
      <c r="K12" s="293">
        <f t="shared" si="1"/>
        <v>1.3152073732718892</v>
      </c>
    </row>
    <row r="13" spans="1:11" ht="14.1" customHeight="1">
      <c r="A13" s="135" t="s">
        <v>13</v>
      </c>
      <c r="B13" s="113">
        <f>'6.4'!D32</f>
        <v>178350</v>
      </c>
      <c r="C13" s="280">
        <f>'6.4'!E32</f>
        <v>176836.4</v>
      </c>
      <c r="D13" s="113">
        <f>'6.4'!F32</f>
        <v>1934640.1620800002</v>
      </c>
      <c r="E13" s="274">
        <f t="shared" si="0"/>
        <v>6.2408496014795353E-2</v>
      </c>
      <c r="F13" s="299">
        <f>'6.4'!H32</f>
        <v>2.8829214597058794E-2</v>
      </c>
      <c r="G13" s="293">
        <f>AVERAGE('6.8'!G13,'6.9'!G13,'6.10'!G13)</f>
        <v>1.1621735791090624</v>
      </c>
      <c r="H13" s="294">
        <f>MAX('6.8'!H13,'6.9'!H13,'6.10'!H13)</f>
        <v>11.8</v>
      </c>
      <c r="I13" s="294">
        <f>MIN('6.8'!I13,'6.9'!I13,'6.10'!I13)</f>
        <v>-10.1</v>
      </c>
      <c r="J13" s="294">
        <f>AVERAGE('6.8'!J13,'6.9'!J13,'6.10'!J13)</f>
        <v>-0.40000000000000008</v>
      </c>
      <c r="K13" s="293">
        <f t="shared" si="1"/>
        <v>1.5621735791090625</v>
      </c>
    </row>
    <row r="14" spans="1:11" ht="14.1" customHeight="1">
      <c r="A14" s="135" t="s">
        <v>14</v>
      </c>
      <c r="B14" s="113">
        <f>'6.4'!D62</f>
        <v>132472</v>
      </c>
      <c r="C14" s="280">
        <f>'6.4'!E62</f>
        <v>122693.11899999999</v>
      </c>
      <c r="D14" s="113">
        <f>'6.4'!F62</f>
        <v>1342350.8614840002</v>
      </c>
      <c r="E14" s="274">
        <f t="shared" si="0"/>
        <v>4.3302160283550009E-2</v>
      </c>
      <c r="F14" s="299">
        <f>'6.4'!H62</f>
        <v>4.1813894108699248E-2</v>
      </c>
      <c r="G14" s="293">
        <f>AVERAGE('6.8'!G14,'6.9'!G14,'6.10'!G14)</f>
        <v>1.3916282642089088</v>
      </c>
      <c r="H14" s="294">
        <f>MAX('6.8'!H14,'6.9'!H14,'6.10'!H14)</f>
        <v>11.1</v>
      </c>
      <c r="I14" s="294">
        <f>MIN('6.8'!I14,'6.9'!I14,'6.10'!I14)</f>
        <v>-10.1</v>
      </c>
      <c r="J14" s="294">
        <f>AVERAGE('6.8'!J14,'6.9'!J14,'6.10'!J14)</f>
        <v>0.56666666666666565</v>
      </c>
      <c r="K14" s="293">
        <f t="shared" si="1"/>
        <v>0.82496159754224319</v>
      </c>
    </row>
    <row r="15" spans="1:11" ht="14.1" customHeight="1">
      <c r="A15" s="135" t="s">
        <v>15</v>
      </c>
      <c r="B15" s="113">
        <f>'6.5'!D32</f>
        <v>154057</v>
      </c>
      <c r="C15" s="280">
        <f>'6.5'!E32</f>
        <v>125264.266</v>
      </c>
      <c r="D15" s="113">
        <f>'6.5'!F32</f>
        <v>1370488.2302099997</v>
      </c>
      <c r="E15" s="274">
        <f t="shared" si="0"/>
        <v>4.4209828230500625E-2</v>
      </c>
      <c r="F15" s="299">
        <f>'6.5'!H32</f>
        <v>8.5454204370428912E-3</v>
      </c>
      <c r="G15" s="293">
        <f>AVERAGE('6.8'!G15,'6.9'!G15,'6.10'!G15)</f>
        <v>1.3392089093701998</v>
      </c>
      <c r="H15" s="294">
        <f>MAX('6.8'!H15,'6.9'!H15,'6.10'!H15)</f>
        <v>8.3000000000000007</v>
      </c>
      <c r="I15" s="294">
        <f>MIN('6.8'!I15,'6.9'!I15,'6.10'!I15)</f>
        <v>-9.6999999999999993</v>
      </c>
      <c r="J15" s="294">
        <f>AVERAGE('6.8'!J15,'6.9'!J15,'6.10'!J15)</f>
        <v>0.40000000000000036</v>
      </c>
      <c r="K15" s="293">
        <f t="shared" si="1"/>
        <v>0.93920890937019941</v>
      </c>
    </row>
    <row r="16" spans="1:11" ht="14.1" customHeight="1">
      <c r="A16" s="135" t="s">
        <v>1</v>
      </c>
      <c r="B16" s="113">
        <f>'6.5'!D62</f>
        <v>367873</v>
      </c>
      <c r="C16" s="280">
        <f>'6.5'!E62</f>
        <v>284340.26430565398</v>
      </c>
      <c r="D16" s="113">
        <f>'6.5'!F62</f>
        <v>3115337.0247419388</v>
      </c>
      <c r="E16" s="274">
        <f t="shared" si="0"/>
        <v>0.10049594860282447</v>
      </c>
      <c r="F16" s="299">
        <f>'6.5'!H62</f>
        <v>2.6004300285262499E-2</v>
      </c>
      <c r="G16" s="293">
        <f>AVERAGE('6.8'!G16,'6.9'!G16,'6.10'!G16)</f>
        <v>2.9319508448540712</v>
      </c>
      <c r="H16" s="294">
        <f>MAX('6.8'!H16,'6.9'!H16,'6.10'!H16)</f>
        <v>10.4</v>
      </c>
      <c r="I16" s="294">
        <f>MIN('6.8'!I16,'6.9'!I16,'6.10'!I16)</f>
        <v>-6</v>
      </c>
      <c r="J16" s="294">
        <f>AVERAGE('6.8'!J16,'6.9'!J16,'6.10'!J16)</f>
        <v>1.5666666666666655</v>
      </c>
      <c r="K16" s="293">
        <f t="shared" si="1"/>
        <v>1.3652841781874057</v>
      </c>
    </row>
    <row r="17" spans="1:16" ht="14.1" customHeight="1">
      <c r="A17" s="135" t="s">
        <v>16</v>
      </c>
      <c r="B17" s="113">
        <f>'6.6'!D32</f>
        <v>279617</v>
      </c>
      <c r="C17" s="280">
        <f>'6.6'!E32</f>
        <v>372162.01815354399</v>
      </c>
      <c r="D17" s="113">
        <f>'6.6'!F32</f>
        <v>4072450.6749679553</v>
      </c>
      <c r="E17" s="274">
        <f t="shared" si="0"/>
        <v>0.1313709529558906</v>
      </c>
      <c r="F17" s="299">
        <f>'6.6'!H32</f>
        <v>3.1321984265013411E-2</v>
      </c>
      <c r="G17" s="293">
        <f>AVERAGE('6.8'!G17,'6.9'!G17,'6.10'!G17)</f>
        <v>1.8981950844854067</v>
      </c>
      <c r="H17" s="294">
        <f>MAX('6.8'!H17,'6.9'!H17,'6.10'!H17)</f>
        <v>9.1999999999999993</v>
      </c>
      <c r="I17" s="294">
        <f>MIN('6.8'!I17,'6.9'!I17,'6.10'!I17)</f>
        <v>-7.7</v>
      </c>
      <c r="J17" s="294">
        <f>AVERAGE('6.8'!J17,'6.9'!J17,'6.10'!J17)</f>
        <v>1.1666666666666663</v>
      </c>
      <c r="K17" s="293">
        <f t="shared" si="1"/>
        <v>0.73152841781874045</v>
      </c>
      <c r="L17" s="68"/>
      <c r="N17" s="68"/>
      <c r="O17" s="68"/>
      <c r="P17" s="68"/>
    </row>
    <row r="18" spans="1:16" ht="14.1" customHeight="1">
      <c r="A18" s="135" t="s">
        <v>17</v>
      </c>
      <c r="B18" s="113">
        <f>'6.6'!D62</f>
        <v>207592</v>
      </c>
      <c r="C18" s="280">
        <f>'6.6'!E62</f>
        <v>406370.96600000001</v>
      </c>
      <c r="D18" s="113">
        <f>'6.6'!F62</f>
        <v>4452240.7934430009</v>
      </c>
      <c r="E18" s="274">
        <f t="shared" si="0"/>
        <v>0.14362239410752345</v>
      </c>
      <c r="F18" s="299">
        <f>'6.6'!H62</f>
        <v>0.17631423154124443</v>
      </c>
      <c r="G18" s="293">
        <f>AVERAGE('6.8'!G18,'6.9'!G18,'6.10'!G18)</f>
        <v>1.3862519201228878</v>
      </c>
      <c r="H18" s="294">
        <f>MAX('6.8'!H18,'6.9'!H18,'6.10'!H18)</f>
        <v>8.9</v>
      </c>
      <c r="I18" s="294">
        <f>MIN('6.8'!I18,'6.9'!I18,'6.10'!I18)</f>
        <v>-8.8000000000000007</v>
      </c>
      <c r="J18" s="294">
        <f>AVERAGE('6.8'!J18,'6.9'!J18,'6.10'!J18)</f>
        <v>1.2999999999999996</v>
      </c>
      <c r="K18" s="293">
        <f t="shared" si="1"/>
        <v>8.6251920122888182E-2</v>
      </c>
      <c r="L18" s="68"/>
      <c r="N18" s="68"/>
      <c r="O18" s="68"/>
      <c r="P18" s="68"/>
    </row>
    <row r="19" spans="1:16" ht="14.1" customHeight="1">
      <c r="A19" s="135" t="s">
        <v>18</v>
      </c>
      <c r="B19" s="113">
        <f>'6.7'!D32</f>
        <v>118400</v>
      </c>
      <c r="C19" s="280">
        <f>'6.7'!E32</f>
        <v>112899.19723399999</v>
      </c>
      <c r="D19" s="113">
        <f>'6.7'!F32</f>
        <v>1235252.202146</v>
      </c>
      <c r="E19" s="274">
        <f t="shared" si="0"/>
        <v>3.984732336581568E-2</v>
      </c>
      <c r="F19" s="299">
        <f>'6.7'!H32</f>
        <v>3.8679521139267425E-2</v>
      </c>
      <c r="G19" s="293">
        <f>AVERAGE('6.8'!G19,'6.9'!G19,'6.10'!G19)</f>
        <v>0.92722734254992289</v>
      </c>
      <c r="H19" s="294">
        <f>MAX('6.8'!H19,'6.9'!H19,'6.10'!H19)</f>
        <v>9.6</v>
      </c>
      <c r="I19" s="294">
        <f>MIN('6.8'!I19,'6.9'!I19,'6.10'!I19)</f>
        <v>-8.5</v>
      </c>
      <c r="J19" s="294">
        <f>AVERAGE('6.8'!J19,'6.9'!J19,'6.10'!J19)</f>
        <v>-0.43333333333333329</v>
      </c>
      <c r="K19" s="293">
        <f t="shared" si="1"/>
        <v>1.3605606758832562</v>
      </c>
      <c r="L19" s="68"/>
      <c r="N19" s="68"/>
      <c r="O19" s="68"/>
      <c r="P19" s="68"/>
    </row>
    <row r="20" spans="1:16" ht="14.1" customHeight="1">
      <c r="A20" s="140" t="s">
        <v>19</v>
      </c>
      <c r="B20" s="277">
        <f>'6.7'!D62</f>
        <v>150586</v>
      </c>
      <c r="C20" s="281">
        <f>'6.7'!E62</f>
        <v>139881.59999999998</v>
      </c>
      <c r="D20" s="277">
        <f>'6.7'!F62</f>
        <v>1530362.25012</v>
      </c>
      <c r="E20" s="278">
        <f t="shared" si="0"/>
        <v>4.9367116562453482E-2</v>
      </c>
      <c r="F20" s="300">
        <f>'6.7'!H62</f>
        <v>-2.4874206865398488E-2</v>
      </c>
      <c r="G20" s="295">
        <f>AVERAGE('6.8'!G20,'6.9'!G20,'6.10'!G20)</f>
        <v>1.4744623655913973</v>
      </c>
      <c r="H20" s="296">
        <f>MAX('6.8'!H20,'6.9'!H20,'6.10'!H20)</f>
        <v>11.8</v>
      </c>
      <c r="I20" s="296">
        <f>MIN('6.8'!I20,'6.9'!I20,'6.10'!I20)</f>
        <v>-8.8000000000000007</v>
      </c>
      <c r="J20" s="296">
        <f>AVERAGE('6.8'!J20,'6.9'!J20,'6.10'!J20)</f>
        <v>0.73333333333333373</v>
      </c>
      <c r="K20" s="295">
        <f t="shared" si="1"/>
        <v>0.74112903225806359</v>
      </c>
      <c r="L20" s="68"/>
    </row>
    <row r="21" spans="1:16" ht="14.1" customHeight="1">
      <c r="A21" s="135" t="s">
        <v>0</v>
      </c>
      <c r="B21" s="137">
        <f>SUM(B7:B20)</f>
        <v>2695223</v>
      </c>
      <c r="C21" s="280">
        <f>SUM(C7:C20)</f>
        <v>2832431.5514611979</v>
      </c>
      <c r="D21" s="113">
        <f>SUM(D7:D20)</f>
        <v>30999628.025346898</v>
      </c>
      <c r="E21" s="333">
        <f>SUM(E7:E20)</f>
        <v>1</v>
      </c>
      <c r="F21" s="299"/>
      <c r="G21" s="234">
        <f>AVERAGE('6.8'!G21,'6.9'!G21,'6.10'!G21)</f>
        <v>1.3557219662058373</v>
      </c>
      <c r="H21" s="234">
        <f>MAX('6.8'!H21,'6.9'!H21,'6.10'!H21)</f>
        <v>9.6999999999999993</v>
      </c>
      <c r="I21" s="234">
        <f>MIN('6.8'!I21,'6.9'!I21,'6.10'!I21)</f>
        <v>-7.8</v>
      </c>
      <c r="J21" s="234">
        <f>AVERAGE('6.8'!J21,'6.9'!J21,'6.10'!J21)</f>
        <v>0.86062291434927696</v>
      </c>
      <c r="K21" s="234">
        <f t="shared" si="1"/>
        <v>0.49509905185656033</v>
      </c>
      <c r="M21" s="94"/>
    </row>
    <row r="22" spans="1:16" ht="14.1" customHeight="1">
      <c r="A22" s="140" t="s">
        <v>91</v>
      </c>
      <c r="B22" s="334"/>
      <c r="C22" s="281">
        <f>'5.1'!E34</f>
        <v>45821.644548415003</v>
      </c>
      <c r="D22" s="277">
        <f>'5.1'!F34</f>
        <v>501506.02406300011</v>
      </c>
      <c r="E22" s="334"/>
      <c r="F22" s="300">
        <f>'5.1'!H34</f>
        <v>-0.16536551749481301</v>
      </c>
      <c r="G22" s="240">
        <f>AVERAGE('6.8'!G22,'6.9'!G22,'6.10'!G22)</f>
        <v>1.3557219662058373</v>
      </c>
      <c r="H22" s="240">
        <f>MAX('6.8'!H22,'6.9'!H22,'6.10'!H22)</f>
        <v>9.6999999999999993</v>
      </c>
      <c r="I22" s="240">
        <f>MIN('6.8'!I22,'6.9'!I22,'6.10'!I22)</f>
        <v>-7.8</v>
      </c>
      <c r="J22" s="240">
        <f>AVERAGE('6.8'!J22,'6.9'!J22,'6.10'!J22)</f>
        <v>0.86062291434927696</v>
      </c>
      <c r="K22" s="240">
        <f t="shared" si="1"/>
        <v>0.49509905185656033</v>
      </c>
    </row>
    <row r="23" spans="1:16" ht="14.1" customHeight="1">
      <c r="A23" s="140" t="s">
        <v>54</v>
      </c>
      <c r="B23" s="142">
        <f>B21+B22</f>
        <v>2695223</v>
      </c>
      <c r="C23" s="281">
        <f t="shared" ref="C23:D23" si="2">C21+C22</f>
        <v>2878253.1960096131</v>
      </c>
      <c r="D23" s="277">
        <f t="shared" si="2"/>
        <v>31501134.049409896</v>
      </c>
      <c r="E23" s="334"/>
      <c r="F23" s="300">
        <f>'5.1'!H35</f>
        <v>4.3958785452658931E-2</v>
      </c>
      <c r="G23" s="240">
        <f>AVERAGE('6.8'!G23,'6.9'!G23,'6.10'!G23)</f>
        <v>1.3557219662058373</v>
      </c>
      <c r="H23" s="240">
        <f>MAX('6.8'!H23,'6.9'!H23,'6.10'!H23)</f>
        <v>9.6999999999999993</v>
      </c>
      <c r="I23" s="240">
        <f>MIN('6.8'!I23,'6.9'!I23,'6.10'!I23)</f>
        <v>-7.8</v>
      </c>
      <c r="J23" s="240">
        <f>AVERAGE('6.8'!J23,'6.9'!J23,'6.10'!J23)</f>
        <v>0.86062291434927696</v>
      </c>
      <c r="K23" s="240">
        <f t="shared" si="1"/>
        <v>0.49509905185656033</v>
      </c>
    </row>
    <row r="24" spans="1:16" ht="15" customHeight="1">
      <c r="A24" s="90"/>
      <c r="B24" s="83"/>
      <c r="C24" s="480" t="s">
        <v>230</v>
      </c>
      <c r="D24" s="480"/>
      <c r="E24" s="480"/>
      <c r="F24" s="480"/>
      <c r="G24" s="483" t="s">
        <v>228</v>
      </c>
      <c r="H24" s="483"/>
      <c r="I24" s="483"/>
      <c r="J24" s="483"/>
      <c r="K24" s="483"/>
    </row>
    <row r="25" spans="1:16" ht="15" customHeight="1">
      <c r="A25" s="83"/>
      <c r="B25" s="83"/>
      <c r="C25" s="480"/>
      <c r="D25" s="480"/>
      <c r="E25" s="480"/>
      <c r="F25" s="480"/>
      <c r="G25" s="483" t="s">
        <v>229</v>
      </c>
      <c r="H25" s="483"/>
      <c r="I25" s="483"/>
      <c r="J25" s="483"/>
      <c r="K25" s="483"/>
    </row>
    <row r="26" spans="1:16" ht="30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6" ht="15" customHeight="1">
      <c r="A27" s="77"/>
      <c r="B27" s="77"/>
      <c r="C27" s="83"/>
      <c r="D27" s="88"/>
      <c r="E27" s="89"/>
      <c r="F27" s="89"/>
      <c r="G27" s="83"/>
      <c r="H27" s="90"/>
      <c r="I27" s="77"/>
      <c r="J27" s="83"/>
      <c r="K27" s="83"/>
    </row>
    <row r="28" spans="1:16" ht="18" customHeight="1">
      <c r="A28" s="83"/>
      <c r="B28" s="83"/>
      <c r="C28" s="83"/>
      <c r="D28" s="88"/>
      <c r="E28" s="89"/>
      <c r="F28" s="89"/>
      <c r="G28" s="83"/>
      <c r="H28" s="83"/>
      <c r="I28" s="83"/>
      <c r="J28" s="83"/>
      <c r="K28" s="83"/>
    </row>
    <row r="29" spans="1:16" ht="15" customHeight="1">
      <c r="A29" s="465" t="s">
        <v>243</v>
      </c>
      <c r="B29" s="465"/>
      <c r="C29" s="465"/>
      <c r="D29" s="465"/>
      <c r="E29" s="465"/>
      <c r="F29" s="465" t="s">
        <v>60</v>
      </c>
      <c r="G29" s="465"/>
      <c r="H29" s="465"/>
      <c r="I29" s="465"/>
      <c r="J29" s="465"/>
      <c r="K29" s="465"/>
    </row>
    <row r="30" spans="1:16" ht="15" customHeight="1">
      <c r="A30" s="105"/>
      <c r="B30" s="494"/>
      <c r="C30" s="494"/>
      <c r="D30" s="105"/>
      <c r="E30" s="105"/>
      <c r="F30" s="105"/>
      <c r="G30" s="105"/>
      <c r="H30" s="494"/>
      <c r="I30" s="481"/>
      <c r="J30" s="105"/>
      <c r="K30" s="105"/>
    </row>
    <row r="31" spans="1:16" ht="1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6" ht="1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 ht="1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34" spans="1:11" ht="1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</row>
    <row r="35" spans="1:11" ht="1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1:11" ht="1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1:11" ht="1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1:11" ht="1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1:11" ht="1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1:11" ht="1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</row>
    <row r="41" spans="1:11" ht="1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</row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mergeCells count="15">
    <mergeCell ref="A1:K1"/>
    <mergeCell ref="A2:B2"/>
    <mergeCell ref="A3:K3"/>
    <mergeCell ref="B30:C30"/>
    <mergeCell ref="H30:I30"/>
    <mergeCell ref="B5:B6"/>
    <mergeCell ref="C4:F4"/>
    <mergeCell ref="G4:K4"/>
    <mergeCell ref="G24:K24"/>
    <mergeCell ref="G25:K25"/>
    <mergeCell ref="C24:F25"/>
    <mergeCell ref="F29:K29"/>
    <mergeCell ref="A29:E29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58"/>
  <sheetViews>
    <sheetView showGridLines="0" topLeftCell="A21" zoomScaleNormal="100" zoomScaleSheetLayoutView="100" workbookViewId="0">
      <selection activeCell="C1" sqref="C1"/>
    </sheetView>
  </sheetViews>
  <sheetFormatPr defaultRowHeight="11.25"/>
  <cols>
    <col min="1" max="1" width="8" style="4" customWidth="1"/>
    <col min="2" max="2" width="7.7109375" style="4" customWidth="1"/>
    <col min="3" max="3" width="8.42578125" style="4" customWidth="1"/>
    <col min="4" max="11" width="7.7109375" style="4" customWidth="1"/>
    <col min="12" max="13" width="8.5703125" style="4" customWidth="1"/>
    <col min="14" max="15" width="7.7109375" style="4" customWidth="1"/>
    <col min="16" max="16" width="9.140625" style="4" customWidth="1"/>
    <col min="17" max="17" width="7.5703125" style="4" customWidth="1"/>
    <col min="18" max="18" width="8.5703125" style="4" customWidth="1"/>
    <col min="19" max="19" width="9.28515625" style="4" bestFit="1" customWidth="1"/>
    <col min="20" max="20" width="11.42578125" style="4" bestFit="1" customWidth="1"/>
    <col min="21" max="259" width="9.140625" style="4"/>
    <col min="260" max="272" width="10.7109375" style="4" customWidth="1"/>
    <col min="273" max="515" width="9.140625" style="4"/>
    <col min="516" max="528" width="10.7109375" style="4" customWidth="1"/>
    <col min="529" max="771" width="9.140625" style="4"/>
    <col min="772" max="784" width="10.7109375" style="4" customWidth="1"/>
    <col min="785" max="1027" width="9.140625" style="4"/>
    <col min="1028" max="1040" width="10.7109375" style="4" customWidth="1"/>
    <col min="1041" max="1283" width="9.140625" style="4"/>
    <col min="1284" max="1296" width="10.7109375" style="4" customWidth="1"/>
    <col min="1297" max="1539" width="9.140625" style="4"/>
    <col min="1540" max="1552" width="10.7109375" style="4" customWidth="1"/>
    <col min="1553" max="1795" width="9.140625" style="4"/>
    <col min="1796" max="1808" width="10.7109375" style="4" customWidth="1"/>
    <col min="1809" max="2051" width="9.140625" style="4"/>
    <col min="2052" max="2064" width="10.7109375" style="4" customWidth="1"/>
    <col min="2065" max="2307" width="9.140625" style="4"/>
    <col min="2308" max="2320" width="10.7109375" style="4" customWidth="1"/>
    <col min="2321" max="2563" width="9.140625" style="4"/>
    <col min="2564" max="2576" width="10.7109375" style="4" customWidth="1"/>
    <col min="2577" max="2819" width="9.140625" style="4"/>
    <col min="2820" max="2832" width="10.7109375" style="4" customWidth="1"/>
    <col min="2833" max="3075" width="9.140625" style="4"/>
    <col min="3076" max="3088" width="10.7109375" style="4" customWidth="1"/>
    <col min="3089" max="3331" width="9.140625" style="4"/>
    <col min="3332" max="3344" width="10.7109375" style="4" customWidth="1"/>
    <col min="3345" max="3587" width="9.140625" style="4"/>
    <col min="3588" max="3600" width="10.7109375" style="4" customWidth="1"/>
    <col min="3601" max="3843" width="9.140625" style="4"/>
    <col min="3844" max="3856" width="10.7109375" style="4" customWidth="1"/>
    <col min="3857" max="4099" width="9.140625" style="4"/>
    <col min="4100" max="4112" width="10.7109375" style="4" customWidth="1"/>
    <col min="4113" max="4355" width="9.140625" style="4"/>
    <col min="4356" max="4368" width="10.7109375" style="4" customWidth="1"/>
    <col min="4369" max="4611" width="9.140625" style="4"/>
    <col min="4612" max="4624" width="10.7109375" style="4" customWidth="1"/>
    <col min="4625" max="4867" width="9.140625" style="4"/>
    <col min="4868" max="4880" width="10.7109375" style="4" customWidth="1"/>
    <col min="4881" max="5123" width="9.140625" style="4"/>
    <col min="5124" max="5136" width="10.7109375" style="4" customWidth="1"/>
    <col min="5137" max="5379" width="9.140625" style="4"/>
    <col min="5380" max="5392" width="10.7109375" style="4" customWidth="1"/>
    <col min="5393" max="5635" width="9.140625" style="4"/>
    <col min="5636" max="5648" width="10.7109375" style="4" customWidth="1"/>
    <col min="5649" max="5891" width="9.140625" style="4"/>
    <col min="5892" max="5904" width="10.7109375" style="4" customWidth="1"/>
    <col min="5905" max="6147" width="9.140625" style="4"/>
    <col min="6148" max="6160" width="10.7109375" style="4" customWidth="1"/>
    <col min="6161" max="6403" width="9.140625" style="4"/>
    <col min="6404" max="6416" width="10.7109375" style="4" customWidth="1"/>
    <col min="6417" max="6659" width="9.140625" style="4"/>
    <col min="6660" max="6672" width="10.7109375" style="4" customWidth="1"/>
    <col min="6673" max="6915" width="9.140625" style="4"/>
    <col min="6916" max="6928" width="10.7109375" style="4" customWidth="1"/>
    <col min="6929" max="7171" width="9.140625" style="4"/>
    <col min="7172" max="7184" width="10.7109375" style="4" customWidth="1"/>
    <col min="7185" max="7427" width="9.140625" style="4"/>
    <col min="7428" max="7440" width="10.7109375" style="4" customWidth="1"/>
    <col min="7441" max="7683" width="9.140625" style="4"/>
    <col min="7684" max="7696" width="10.7109375" style="4" customWidth="1"/>
    <col min="7697" max="7939" width="9.140625" style="4"/>
    <col min="7940" max="7952" width="10.7109375" style="4" customWidth="1"/>
    <col min="7953" max="8195" width="9.140625" style="4"/>
    <col min="8196" max="8208" width="10.7109375" style="4" customWidth="1"/>
    <col min="8209" max="8451" width="9.140625" style="4"/>
    <col min="8452" max="8464" width="10.7109375" style="4" customWidth="1"/>
    <col min="8465" max="8707" width="9.140625" style="4"/>
    <col min="8708" max="8720" width="10.7109375" style="4" customWidth="1"/>
    <col min="8721" max="8963" width="9.140625" style="4"/>
    <col min="8964" max="8976" width="10.7109375" style="4" customWidth="1"/>
    <col min="8977" max="9219" width="9.140625" style="4"/>
    <col min="9220" max="9232" width="10.7109375" style="4" customWidth="1"/>
    <col min="9233" max="9475" width="9.140625" style="4"/>
    <col min="9476" max="9488" width="10.7109375" style="4" customWidth="1"/>
    <col min="9489" max="9731" width="9.140625" style="4"/>
    <col min="9732" max="9744" width="10.7109375" style="4" customWidth="1"/>
    <col min="9745" max="9987" width="9.140625" style="4"/>
    <col min="9988" max="10000" width="10.7109375" style="4" customWidth="1"/>
    <col min="10001" max="10243" width="9.140625" style="4"/>
    <col min="10244" max="10256" width="10.7109375" style="4" customWidth="1"/>
    <col min="10257" max="10499" width="9.140625" style="4"/>
    <col min="10500" max="10512" width="10.7109375" style="4" customWidth="1"/>
    <col min="10513" max="10755" width="9.140625" style="4"/>
    <col min="10756" max="10768" width="10.7109375" style="4" customWidth="1"/>
    <col min="10769" max="11011" width="9.140625" style="4"/>
    <col min="11012" max="11024" width="10.7109375" style="4" customWidth="1"/>
    <col min="11025" max="11267" width="9.140625" style="4"/>
    <col min="11268" max="11280" width="10.7109375" style="4" customWidth="1"/>
    <col min="11281" max="11523" width="9.140625" style="4"/>
    <col min="11524" max="11536" width="10.7109375" style="4" customWidth="1"/>
    <col min="11537" max="11779" width="9.140625" style="4"/>
    <col min="11780" max="11792" width="10.7109375" style="4" customWidth="1"/>
    <col min="11793" max="12035" width="9.140625" style="4"/>
    <col min="12036" max="12048" width="10.7109375" style="4" customWidth="1"/>
    <col min="12049" max="12291" width="9.140625" style="4"/>
    <col min="12292" max="12304" width="10.7109375" style="4" customWidth="1"/>
    <col min="12305" max="12547" width="9.140625" style="4"/>
    <col min="12548" max="12560" width="10.7109375" style="4" customWidth="1"/>
    <col min="12561" max="12803" width="9.140625" style="4"/>
    <col min="12804" max="12816" width="10.7109375" style="4" customWidth="1"/>
    <col min="12817" max="13059" width="9.140625" style="4"/>
    <col min="13060" max="13072" width="10.7109375" style="4" customWidth="1"/>
    <col min="13073" max="13315" width="9.140625" style="4"/>
    <col min="13316" max="13328" width="10.7109375" style="4" customWidth="1"/>
    <col min="13329" max="13571" width="9.140625" style="4"/>
    <col min="13572" max="13584" width="10.7109375" style="4" customWidth="1"/>
    <col min="13585" max="13827" width="9.140625" style="4"/>
    <col min="13828" max="13840" width="10.7109375" style="4" customWidth="1"/>
    <col min="13841" max="14083" width="9.140625" style="4"/>
    <col min="14084" max="14096" width="10.7109375" style="4" customWidth="1"/>
    <col min="14097" max="14339" width="9.140625" style="4"/>
    <col min="14340" max="14352" width="10.7109375" style="4" customWidth="1"/>
    <col min="14353" max="14595" width="9.140625" style="4"/>
    <col min="14596" max="14608" width="10.7109375" style="4" customWidth="1"/>
    <col min="14609" max="14851" width="9.140625" style="4"/>
    <col min="14852" max="14864" width="10.7109375" style="4" customWidth="1"/>
    <col min="14865" max="15107" width="9.140625" style="4"/>
    <col min="15108" max="15120" width="10.7109375" style="4" customWidth="1"/>
    <col min="15121" max="15363" width="9.140625" style="4"/>
    <col min="15364" max="15376" width="10.7109375" style="4" customWidth="1"/>
    <col min="15377" max="15619" width="9.140625" style="4"/>
    <col min="15620" max="15632" width="10.7109375" style="4" customWidth="1"/>
    <col min="15633" max="15875" width="9.140625" style="4"/>
    <col min="15876" max="15888" width="10.7109375" style="4" customWidth="1"/>
    <col min="15889" max="16131" width="9.140625" style="4"/>
    <col min="16132" max="16144" width="10.7109375" style="4" customWidth="1"/>
    <col min="16145" max="16384" width="9.140625" style="4"/>
  </cols>
  <sheetData>
    <row r="1" spans="1:22" ht="18">
      <c r="A1" s="425" t="s">
        <v>294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</row>
    <row r="2" spans="1:22" ht="6" customHeight="1">
      <c r="A2" s="498"/>
      <c r="B2" s="499"/>
      <c r="C2" s="499"/>
      <c r="D2" s="499"/>
      <c r="E2" s="499"/>
      <c r="F2" s="499"/>
      <c r="G2" s="499"/>
      <c r="H2" s="499"/>
      <c r="I2" s="499"/>
      <c r="J2" s="188"/>
      <c r="K2" s="187"/>
      <c r="L2" s="187"/>
      <c r="M2" s="187"/>
      <c r="N2" s="187"/>
      <c r="O2" s="187"/>
      <c r="P2" s="187"/>
      <c r="Q2" s="187"/>
      <c r="R2" s="187"/>
    </row>
    <row r="3" spans="1:22" ht="35.1" customHeight="1">
      <c r="A3" s="421" t="s">
        <v>262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</row>
    <row r="4" spans="1:22" ht="84.95" customHeight="1">
      <c r="A4" s="198">
        <f>'3.1'!A4</f>
        <v>2026</v>
      </c>
      <c r="B4" s="336" t="s">
        <v>66</v>
      </c>
      <c r="C4" s="336" t="s">
        <v>67</v>
      </c>
      <c r="D4" s="336" t="s">
        <v>68</v>
      </c>
      <c r="E4" s="336" t="s">
        <v>88</v>
      </c>
      <c r="F4" s="336" t="s">
        <v>69</v>
      </c>
      <c r="G4" s="336" t="s">
        <v>70</v>
      </c>
      <c r="H4" s="336" t="s">
        <v>71</v>
      </c>
      <c r="I4" s="336" t="s">
        <v>72</v>
      </c>
      <c r="J4" s="336" t="s">
        <v>73</v>
      </c>
      <c r="K4" s="336" t="s">
        <v>74</v>
      </c>
      <c r="L4" s="336" t="s">
        <v>75</v>
      </c>
      <c r="M4" s="336" t="s">
        <v>76</v>
      </c>
      <c r="N4" s="336" t="s">
        <v>77</v>
      </c>
      <c r="O4" s="336" t="s">
        <v>78</v>
      </c>
      <c r="P4" s="336" t="s">
        <v>79</v>
      </c>
      <c r="Q4" s="336" t="s">
        <v>92</v>
      </c>
      <c r="R4" s="336" t="s">
        <v>80</v>
      </c>
    </row>
    <row r="5" spans="1:22" ht="20.100000000000001" customHeight="1">
      <c r="A5" s="157" t="s">
        <v>157</v>
      </c>
      <c r="B5" s="214">
        <v>43025.471072</v>
      </c>
      <c r="C5" s="214">
        <v>154255.5</v>
      </c>
      <c r="D5" s="215">
        <v>41486.9</v>
      </c>
      <c r="E5" s="215">
        <v>53080.600000000006</v>
      </c>
      <c r="F5" s="215">
        <v>47071.058000000005</v>
      </c>
      <c r="G5" s="215">
        <v>129953.652</v>
      </c>
      <c r="H5" s="215">
        <v>76169.799999999988</v>
      </c>
      <c r="I5" s="215">
        <v>51753.862000000001</v>
      </c>
      <c r="J5" s="215">
        <v>51839.600000000006</v>
      </c>
      <c r="K5" s="214">
        <v>125143.39577146299</v>
      </c>
      <c r="L5" s="214">
        <v>157678.928416465</v>
      </c>
      <c r="M5" s="215">
        <v>176641.04700000002</v>
      </c>
      <c r="N5" s="215">
        <v>47938.414927999998</v>
      </c>
      <c r="O5" s="215">
        <v>60233</v>
      </c>
      <c r="P5" s="215">
        <v>1216271.2291879279</v>
      </c>
      <c r="Q5" s="215">
        <v>16432.916682252995</v>
      </c>
      <c r="R5" s="215">
        <v>1232704.1458701808</v>
      </c>
      <c r="S5" s="48"/>
      <c r="T5" s="49"/>
      <c r="U5" s="49"/>
      <c r="V5" s="49"/>
    </row>
    <row r="6" spans="1:22" ht="20.100000000000001" customHeight="1">
      <c r="A6" s="157" t="s">
        <v>158</v>
      </c>
      <c r="B6" s="214">
        <v>32230.324661999999</v>
      </c>
      <c r="C6" s="215">
        <v>115496.9</v>
      </c>
      <c r="D6" s="215">
        <v>29782.5</v>
      </c>
      <c r="E6" s="215">
        <v>37881</v>
      </c>
      <c r="F6" s="215">
        <v>35922.225999999995</v>
      </c>
      <c r="G6" s="215">
        <v>101461.046</v>
      </c>
      <c r="H6" s="215">
        <v>57031.3</v>
      </c>
      <c r="I6" s="215">
        <v>39149.584000000003</v>
      </c>
      <c r="J6" s="215">
        <v>40351.600000000006</v>
      </c>
      <c r="K6" s="214">
        <v>89007.449210702005</v>
      </c>
      <c r="L6" s="215">
        <v>115930.047630199</v>
      </c>
      <c r="M6" s="215">
        <v>132577.57499999998</v>
      </c>
      <c r="N6" s="215">
        <v>36269.422338999997</v>
      </c>
      <c r="O6" s="215">
        <v>44868.899999999994</v>
      </c>
      <c r="P6" s="215">
        <v>907959.87484190089</v>
      </c>
      <c r="Q6" s="215">
        <v>16583.486299491</v>
      </c>
      <c r="R6" s="215">
        <v>924543.36114139191</v>
      </c>
      <c r="S6" s="50"/>
      <c r="T6" s="49"/>
      <c r="U6" s="49"/>
      <c r="V6" s="49"/>
    </row>
    <row r="7" spans="1:22" ht="20.100000000000001" customHeight="1">
      <c r="A7" s="160" t="s">
        <v>159</v>
      </c>
      <c r="B7" s="217">
        <v>26233.470033999998</v>
      </c>
      <c r="C7" s="218">
        <v>85172.9</v>
      </c>
      <c r="D7" s="218">
        <v>18546.900000000001</v>
      </c>
      <c r="E7" s="218">
        <v>29624.5</v>
      </c>
      <c r="F7" s="218">
        <v>28131.795000000002</v>
      </c>
      <c r="G7" s="218">
        <v>82626.978000000003</v>
      </c>
      <c r="H7" s="218">
        <v>43635.299999999996</v>
      </c>
      <c r="I7" s="218">
        <v>31789.672999999999</v>
      </c>
      <c r="J7" s="218">
        <v>33073.066000000006</v>
      </c>
      <c r="K7" s="217">
        <v>70189.419323489012</v>
      </c>
      <c r="L7" s="218">
        <v>98553.042106879991</v>
      </c>
      <c r="M7" s="218">
        <v>97152.344000000012</v>
      </c>
      <c r="N7" s="218">
        <v>28691.359966999997</v>
      </c>
      <c r="O7" s="218">
        <v>34779.699999999997</v>
      </c>
      <c r="P7" s="218">
        <v>708200.44743136887</v>
      </c>
      <c r="Q7" s="218">
        <v>12805.241566670999</v>
      </c>
      <c r="R7" s="218">
        <v>721005.68899803981</v>
      </c>
      <c r="S7" s="51"/>
      <c r="T7" s="49"/>
      <c r="U7" s="49"/>
      <c r="V7" s="49"/>
    </row>
    <row r="8" spans="1:22" ht="20.100000000000001" customHeight="1">
      <c r="A8" s="157" t="s">
        <v>160</v>
      </c>
      <c r="B8" s="214"/>
      <c r="C8" s="215"/>
      <c r="D8" s="215"/>
      <c r="E8" s="215"/>
      <c r="F8" s="215"/>
      <c r="G8" s="215"/>
      <c r="H8" s="215"/>
      <c r="I8" s="215"/>
      <c r="J8" s="215"/>
      <c r="K8" s="214"/>
      <c r="L8" s="215"/>
      <c r="M8" s="215"/>
      <c r="N8" s="215"/>
      <c r="O8" s="215"/>
      <c r="P8" s="215"/>
      <c r="Q8" s="215"/>
      <c r="R8" s="215"/>
      <c r="S8" s="50"/>
      <c r="T8" s="49"/>
      <c r="U8" s="49"/>
      <c r="V8" s="49"/>
    </row>
    <row r="9" spans="1:22" ht="20.100000000000001" customHeight="1">
      <c r="A9" s="157" t="s">
        <v>161</v>
      </c>
      <c r="B9" s="214"/>
      <c r="C9" s="215"/>
      <c r="D9" s="215"/>
      <c r="E9" s="215"/>
      <c r="F9" s="215"/>
      <c r="G9" s="215"/>
      <c r="H9" s="215"/>
      <c r="I9" s="215"/>
      <c r="J9" s="215"/>
      <c r="K9" s="214"/>
      <c r="L9" s="215"/>
      <c r="M9" s="215"/>
      <c r="N9" s="215"/>
      <c r="O9" s="215"/>
      <c r="P9" s="215"/>
      <c r="Q9" s="215"/>
      <c r="R9" s="215"/>
      <c r="S9" s="50"/>
      <c r="T9" s="49"/>
      <c r="U9" s="49"/>
      <c r="V9" s="49"/>
    </row>
    <row r="10" spans="1:22" ht="20.100000000000001" customHeight="1">
      <c r="A10" s="160" t="s">
        <v>162</v>
      </c>
      <c r="B10" s="217"/>
      <c r="C10" s="218"/>
      <c r="D10" s="218"/>
      <c r="E10" s="218"/>
      <c r="F10" s="218"/>
      <c r="G10" s="218"/>
      <c r="H10" s="218"/>
      <c r="I10" s="218"/>
      <c r="J10" s="218"/>
      <c r="K10" s="217"/>
      <c r="L10" s="218"/>
      <c r="M10" s="218"/>
      <c r="N10" s="218"/>
      <c r="O10" s="218"/>
      <c r="P10" s="218"/>
      <c r="Q10" s="218"/>
      <c r="R10" s="218"/>
      <c r="S10" s="50"/>
      <c r="T10" s="49"/>
      <c r="U10" s="49"/>
      <c r="V10" s="49"/>
    </row>
    <row r="11" spans="1:22" ht="20.100000000000001" customHeight="1">
      <c r="A11" s="157" t="s">
        <v>163</v>
      </c>
      <c r="B11" s="214"/>
      <c r="C11" s="215"/>
      <c r="D11" s="215"/>
      <c r="E11" s="215"/>
      <c r="F11" s="215"/>
      <c r="G11" s="215"/>
      <c r="H11" s="215"/>
      <c r="I11" s="215"/>
      <c r="J11" s="215"/>
      <c r="K11" s="214"/>
      <c r="L11" s="215"/>
      <c r="M11" s="215"/>
      <c r="N11" s="215"/>
      <c r="O11" s="215"/>
      <c r="P11" s="215"/>
      <c r="Q11" s="215"/>
      <c r="R11" s="215"/>
      <c r="S11" s="50"/>
      <c r="T11" s="49"/>
      <c r="U11" s="49"/>
      <c r="V11" s="49"/>
    </row>
    <row r="12" spans="1:22" ht="20.100000000000001" customHeight="1">
      <c r="A12" s="157" t="s">
        <v>164</v>
      </c>
      <c r="B12" s="214"/>
      <c r="C12" s="215"/>
      <c r="D12" s="215"/>
      <c r="E12" s="215"/>
      <c r="F12" s="215"/>
      <c r="G12" s="215"/>
      <c r="H12" s="215"/>
      <c r="I12" s="215"/>
      <c r="J12" s="215"/>
      <c r="K12" s="214"/>
      <c r="L12" s="215"/>
      <c r="M12" s="215"/>
      <c r="N12" s="215"/>
      <c r="O12" s="215"/>
      <c r="P12" s="215"/>
      <c r="Q12" s="215"/>
      <c r="R12" s="215"/>
      <c r="S12" s="50"/>
      <c r="T12" s="49"/>
      <c r="U12" s="49"/>
      <c r="V12" s="49"/>
    </row>
    <row r="13" spans="1:22" ht="20.100000000000001" customHeight="1">
      <c r="A13" s="160" t="s">
        <v>165</v>
      </c>
      <c r="B13" s="217"/>
      <c r="C13" s="218"/>
      <c r="D13" s="218"/>
      <c r="E13" s="218"/>
      <c r="F13" s="218"/>
      <c r="G13" s="218"/>
      <c r="H13" s="218"/>
      <c r="I13" s="218"/>
      <c r="J13" s="218"/>
      <c r="K13" s="217"/>
      <c r="L13" s="218"/>
      <c r="M13" s="218"/>
      <c r="N13" s="218"/>
      <c r="O13" s="218"/>
      <c r="P13" s="218"/>
      <c r="Q13" s="218"/>
      <c r="R13" s="218"/>
      <c r="S13" s="50"/>
      <c r="T13" s="49"/>
      <c r="U13" s="49"/>
      <c r="V13" s="49"/>
    </row>
    <row r="14" spans="1:22" ht="20.100000000000001" customHeight="1">
      <c r="A14" s="157" t="s">
        <v>166</v>
      </c>
      <c r="B14" s="214"/>
      <c r="C14" s="215"/>
      <c r="D14" s="215"/>
      <c r="E14" s="215"/>
      <c r="F14" s="215"/>
      <c r="G14" s="215"/>
      <c r="H14" s="215"/>
      <c r="I14" s="215"/>
      <c r="J14" s="215"/>
      <c r="K14" s="214"/>
      <c r="L14" s="215"/>
      <c r="M14" s="215"/>
      <c r="N14" s="215"/>
      <c r="O14" s="215"/>
      <c r="P14" s="215"/>
      <c r="Q14" s="215"/>
      <c r="R14" s="215"/>
      <c r="S14" s="50"/>
      <c r="T14" s="49"/>
      <c r="U14" s="49"/>
      <c r="V14" s="49"/>
    </row>
    <row r="15" spans="1:22" ht="20.100000000000001" customHeight="1">
      <c r="A15" s="157" t="s">
        <v>167</v>
      </c>
      <c r="B15" s="214"/>
      <c r="C15" s="215"/>
      <c r="D15" s="215"/>
      <c r="E15" s="215"/>
      <c r="F15" s="215"/>
      <c r="G15" s="215"/>
      <c r="H15" s="215"/>
      <c r="I15" s="215"/>
      <c r="J15" s="215"/>
      <c r="K15" s="214"/>
      <c r="L15" s="215"/>
      <c r="M15" s="215"/>
      <c r="N15" s="215"/>
      <c r="O15" s="215"/>
      <c r="P15" s="215"/>
      <c r="Q15" s="215"/>
      <c r="R15" s="215"/>
      <c r="S15" s="50"/>
      <c r="T15" s="49"/>
      <c r="U15" s="49"/>
      <c r="V15" s="49"/>
    </row>
    <row r="16" spans="1:22" ht="20.100000000000001" customHeight="1">
      <c r="A16" s="160" t="s">
        <v>168</v>
      </c>
      <c r="B16" s="217"/>
      <c r="C16" s="218"/>
      <c r="D16" s="218"/>
      <c r="E16" s="218"/>
      <c r="F16" s="218"/>
      <c r="G16" s="218"/>
      <c r="H16" s="218"/>
      <c r="I16" s="218"/>
      <c r="J16" s="218"/>
      <c r="K16" s="217"/>
      <c r="L16" s="218"/>
      <c r="M16" s="218"/>
      <c r="N16" s="218"/>
      <c r="O16" s="218"/>
      <c r="P16" s="218"/>
      <c r="Q16" s="218"/>
      <c r="R16" s="218"/>
      <c r="S16" s="50"/>
      <c r="T16" s="49"/>
      <c r="U16" s="49"/>
      <c r="V16" s="49"/>
    </row>
    <row r="17" spans="1:22" ht="20.100000000000001" customHeight="1">
      <c r="A17" s="157" t="s">
        <v>47</v>
      </c>
      <c r="B17" s="214">
        <f>SUM(B5:B7)</f>
        <v>101489.265768</v>
      </c>
      <c r="C17" s="214">
        <f>SUM(C5:C7)</f>
        <v>354925.30000000005</v>
      </c>
      <c r="D17" s="214">
        <f t="shared" ref="D17:J17" si="0">SUM(D5:D7)</f>
        <v>89816.299999999988</v>
      </c>
      <c r="E17" s="214">
        <f t="shared" si="0"/>
        <v>120586.1</v>
      </c>
      <c r="F17" s="214">
        <f t="shared" si="0"/>
        <v>111125.079</v>
      </c>
      <c r="G17" s="214">
        <f t="shared" si="0"/>
        <v>314041.67599999998</v>
      </c>
      <c r="H17" s="214">
        <f t="shared" si="0"/>
        <v>176836.39999999997</v>
      </c>
      <c r="I17" s="214">
        <f t="shared" si="0"/>
        <v>122693.11899999999</v>
      </c>
      <c r="J17" s="214">
        <f t="shared" si="0"/>
        <v>125264.26600000002</v>
      </c>
      <c r="K17" s="214">
        <f>SUM(K5:K7)</f>
        <v>284340.26430565398</v>
      </c>
      <c r="L17" s="214">
        <f t="shared" ref="L17:R17" si="1">SUM(L5:L7)</f>
        <v>372162.01815354399</v>
      </c>
      <c r="M17" s="214">
        <f t="shared" si="1"/>
        <v>406370.96600000001</v>
      </c>
      <c r="N17" s="214">
        <f t="shared" si="1"/>
        <v>112899.19723399999</v>
      </c>
      <c r="O17" s="214">
        <f t="shared" si="1"/>
        <v>139881.59999999998</v>
      </c>
      <c r="P17" s="214">
        <f t="shared" si="1"/>
        <v>2832431.5514611974</v>
      </c>
      <c r="Q17" s="214">
        <f t="shared" si="1"/>
        <v>45821.644548414995</v>
      </c>
      <c r="R17" s="214">
        <f t="shared" si="1"/>
        <v>2878253.1960096126</v>
      </c>
    </row>
    <row r="18" spans="1:22" ht="20.100000000000001" customHeight="1">
      <c r="A18" s="157" t="s">
        <v>55</v>
      </c>
      <c r="B18" s="379">
        <f>SUM(B8:B10)</f>
        <v>0</v>
      </c>
      <c r="C18" s="379">
        <f>SUM(C8:C10)</f>
        <v>0</v>
      </c>
      <c r="D18" s="379">
        <f t="shared" ref="D18:J18" si="2">SUM(D8:D10)</f>
        <v>0</v>
      </c>
      <c r="E18" s="379">
        <f t="shared" si="2"/>
        <v>0</v>
      </c>
      <c r="F18" s="379">
        <f t="shared" si="2"/>
        <v>0</v>
      </c>
      <c r="G18" s="379">
        <f t="shared" si="2"/>
        <v>0</v>
      </c>
      <c r="H18" s="379">
        <f t="shared" si="2"/>
        <v>0</v>
      </c>
      <c r="I18" s="379">
        <f t="shared" si="2"/>
        <v>0</v>
      </c>
      <c r="J18" s="379">
        <f t="shared" si="2"/>
        <v>0</v>
      </c>
      <c r="K18" s="379">
        <f>SUM(K8:K10)</f>
        <v>0</v>
      </c>
      <c r="L18" s="379">
        <f t="shared" ref="L18:R18" si="3">SUM(L8:L10)</f>
        <v>0</v>
      </c>
      <c r="M18" s="379">
        <f t="shared" si="3"/>
        <v>0</v>
      </c>
      <c r="N18" s="379">
        <f t="shared" si="3"/>
        <v>0</v>
      </c>
      <c r="O18" s="379">
        <f t="shared" si="3"/>
        <v>0</v>
      </c>
      <c r="P18" s="379">
        <f t="shared" si="3"/>
        <v>0</v>
      </c>
      <c r="Q18" s="379">
        <f t="shared" si="3"/>
        <v>0</v>
      </c>
      <c r="R18" s="379">
        <f t="shared" si="3"/>
        <v>0</v>
      </c>
    </row>
    <row r="19" spans="1:22" ht="20.100000000000001" customHeight="1">
      <c r="A19" s="157" t="s">
        <v>62</v>
      </c>
      <c r="B19" s="379">
        <f>SUM(B11:B13)</f>
        <v>0</v>
      </c>
      <c r="C19" s="379">
        <f>SUM(C11:C13)</f>
        <v>0</v>
      </c>
      <c r="D19" s="379">
        <f t="shared" ref="D19:J19" si="4">SUM(D11:D13)</f>
        <v>0</v>
      </c>
      <c r="E19" s="379">
        <f t="shared" si="4"/>
        <v>0</v>
      </c>
      <c r="F19" s="379">
        <f t="shared" si="4"/>
        <v>0</v>
      </c>
      <c r="G19" s="379">
        <f t="shared" si="4"/>
        <v>0</v>
      </c>
      <c r="H19" s="379">
        <f t="shared" si="4"/>
        <v>0</v>
      </c>
      <c r="I19" s="379">
        <f t="shared" si="4"/>
        <v>0</v>
      </c>
      <c r="J19" s="379">
        <f t="shared" si="4"/>
        <v>0</v>
      </c>
      <c r="K19" s="379">
        <f>SUM(K11:K13)</f>
        <v>0</v>
      </c>
      <c r="L19" s="379">
        <f t="shared" ref="L19:R19" si="5">SUM(L11:L13)</f>
        <v>0</v>
      </c>
      <c r="M19" s="379">
        <f t="shared" si="5"/>
        <v>0</v>
      </c>
      <c r="N19" s="379">
        <f t="shared" si="5"/>
        <v>0</v>
      </c>
      <c r="O19" s="379">
        <f t="shared" si="5"/>
        <v>0</v>
      </c>
      <c r="P19" s="379">
        <f t="shared" si="5"/>
        <v>0</v>
      </c>
      <c r="Q19" s="379">
        <f t="shared" si="5"/>
        <v>0</v>
      </c>
      <c r="R19" s="379">
        <f t="shared" si="5"/>
        <v>0</v>
      </c>
    </row>
    <row r="20" spans="1:22" ht="20.100000000000001" customHeight="1">
      <c r="A20" s="160" t="s">
        <v>56</v>
      </c>
      <c r="B20" s="382">
        <f>SUM(B14:B16)</f>
        <v>0</v>
      </c>
      <c r="C20" s="382">
        <f>SUM(C14:C16)</f>
        <v>0</v>
      </c>
      <c r="D20" s="382">
        <f t="shared" ref="D20:J20" si="6">SUM(D14:D16)</f>
        <v>0</v>
      </c>
      <c r="E20" s="382">
        <f t="shared" si="6"/>
        <v>0</v>
      </c>
      <c r="F20" s="382">
        <f t="shared" si="6"/>
        <v>0</v>
      </c>
      <c r="G20" s="382">
        <f t="shared" si="6"/>
        <v>0</v>
      </c>
      <c r="H20" s="382">
        <f t="shared" si="6"/>
        <v>0</v>
      </c>
      <c r="I20" s="382">
        <f t="shared" si="6"/>
        <v>0</v>
      </c>
      <c r="J20" s="382">
        <f t="shared" si="6"/>
        <v>0</v>
      </c>
      <c r="K20" s="382">
        <f>SUM(K14:K16)</f>
        <v>0</v>
      </c>
      <c r="L20" s="382">
        <f t="shared" ref="L20:R20" si="7">SUM(L14:L16)</f>
        <v>0</v>
      </c>
      <c r="M20" s="382">
        <f t="shared" si="7"/>
        <v>0</v>
      </c>
      <c r="N20" s="382">
        <f t="shared" si="7"/>
        <v>0</v>
      </c>
      <c r="O20" s="382">
        <f t="shared" si="7"/>
        <v>0</v>
      </c>
      <c r="P20" s="382">
        <f t="shared" si="7"/>
        <v>0</v>
      </c>
      <c r="Q20" s="382">
        <f t="shared" si="7"/>
        <v>0</v>
      </c>
      <c r="R20" s="382">
        <f t="shared" si="7"/>
        <v>0</v>
      </c>
    </row>
    <row r="21" spans="1:22" ht="20.100000000000001" customHeight="1">
      <c r="A21" s="157" t="s">
        <v>57</v>
      </c>
      <c r="B21" s="379">
        <f>SUM(B5:B10)</f>
        <v>101489.265768</v>
      </c>
      <c r="C21" s="379">
        <f>SUM(C5:C10)</f>
        <v>354925.30000000005</v>
      </c>
      <c r="D21" s="379">
        <f t="shared" ref="D21:J21" si="8">SUM(D5:D10)</f>
        <v>89816.299999999988</v>
      </c>
      <c r="E21" s="379">
        <f t="shared" si="8"/>
        <v>120586.1</v>
      </c>
      <c r="F21" s="379">
        <f t="shared" si="8"/>
        <v>111125.079</v>
      </c>
      <c r="G21" s="379">
        <f t="shared" si="8"/>
        <v>314041.67599999998</v>
      </c>
      <c r="H21" s="379">
        <f t="shared" si="8"/>
        <v>176836.39999999997</v>
      </c>
      <c r="I21" s="379">
        <f t="shared" si="8"/>
        <v>122693.11899999999</v>
      </c>
      <c r="J21" s="379">
        <f t="shared" si="8"/>
        <v>125264.26600000002</v>
      </c>
      <c r="K21" s="379">
        <f>SUM(K5:K10)</f>
        <v>284340.26430565398</v>
      </c>
      <c r="L21" s="379">
        <f t="shared" ref="L21:R21" si="9">SUM(L5:L10)</f>
        <v>372162.01815354399</v>
      </c>
      <c r="M21" s="379">
        <f t="shared" si="9"/>
        <v>406370.96600000001</v>
      </c>
      <c r="N21" s="379">
        <f t="shared" si="9"/>
        <v>112899.19723399999</v>
      </c>
      <c r="O21" s="379">
        <f t="shared" si="9"/>
        <v>139881.59999999998</v>
      </c>
      <c r="P21" s="379">
        <f t="shared" si="9"/>
        <v>2832431.5514611974</v>
      </c>
      <c r="Q21" s="379">
        <f t="shared" si="9"/>
        <v>45821.644548414995</v>
      </c>
      <c r="R21" s="379">
        <f t="shared" si="9"/>
        <v>2878253.1960096126</v>
      </c>
    </row>
    <row r="22" spans="1:22" ht="20.100000000000001" customHeight="1">
      <c r="A22" s="160" t="s">
        <v>58</v>
      </c>
      <c r="B22" s="382">
        <f>SUM(B11:B16)</f>
        <v>0</v>
      </c>
      <c r="C22" s="382">
        <f>SUM(C11:C16)</f>
        <v>0</v>
      </c>
      <c r="D22" s="382">
        <f t="shared" ref="D22:J22" si="10">SUM(D11:D16)</f>
        <v>0</v>
      </c>
      <c r="E22" s="382">
        <f t="shared" si="10"/>
        <v>0</v>
      </c>
      <c r="F22" s="382">
        <f t="shared" si="10"/>
        <v>0</v>
      </c>
      <c r="G22" s="382">
        <f t="shared" si="10"/>
        <v>0</v>
      </c>
      <c r="H22" s="382">
        <f t="shared" si="10"/>
        <v>0</v>
      </c>
      <c r="I22" s="382">
        <f t="shared" si="10"/>
        <v>0</v>
      </c>
      <c r="J22" s="382">
        <f t="shared" si="10"/>
        <v>0</v>
      </c>
      <c r="K22" s="382">
        <f>SUM(K11:K16)</f>
        <v>0</v>
      </c>
      <c r="L22" s="382">
        <f t="shared" ref="L22:R22" si="11">SUM(L11:L16)</f>
        <v>0</v>
      </c>
      <c r="M22" s="382">
        <f t="shared" si="11"/>
        <v>0</v>
      </c>
      <c r="N22" s="382">
        <f t="shared" si="11"/>
        <v>0</v>
      </c>
      <c r="O22" s="382">
        <f t="shared" si="11"/>
        <v>0</v>
      </c>
      <c r="P22" s="382">
        <f t="shared" si="11"/>
        <v>0</v>
      </c>
      <c r="Q22" s="382">
        <f t="shared" si="11"/>
        <v>0</v>
      </c>
      <c r="R22" s="382">
        <f t="shared" si="11"/>
        <v>0</v>
      </c>
    </row>
    <row r="23" spans="1:22" ht="20.100000000000001" customHeight="1">
      <c r="A23" s="196" t="s">
        <v>169</v>
      </c>
      <c r="B23" s="385">
        <f>SUM(B5:B16)</f>
        <v>101489.265768</v>
      </c>
      <c r="C23" s="385">
        <f>SUM(C5:C16)</f>
        <v>354925.30000000005</v>
      </c>
      <c r="D23" s="385">
        <f t="shared" ref="D23:J23" si="12">SUM(D5:D16)</f>
        <v>89816.299999999988</v>
      </c>
      <c r="E23" s="385">
        <f t="shared" si="12"/>
        <v>120586.1</v>
      </c>
      <c r="F23" s="385">
        <f t="shared" si="12"/>
        <v>111125.079</v>
      </c>
      <c r="G23" s="385">
        <f t="shared" si="12"/>
        <v>314041.67599999998</v>
      </c>
      <c r="H23" s="385">
        <f t="shared" si="12"/>
        <v>176836.39999999997</v>
      </c>
      <c r="I23" s="385">
        <f t="shared" si="12"/>
        <v>122693.11899999999</v>
      </c>
      <c r="J23" s="385">
        <f t="shared" si="12"/>
        <v>125264.26600000002</v>
      </c>
      <c r="K23" s="385">
        <f>SUM(K5:K16)</f>
        <v>284340.26430565398</v>
      </c>
      <c r="L23" s="385">
        <f t="shared" ref="L23:R23" si="13">SUM(L5:L16)</f>
        <v>372162.01815354399</v>
      </c>
      <c r="M23" s="385">
        <f t="shared" si="13"/>
        <v>406370.96600000001</v>
      </c>
      <c r="N23" s="385">
        <f t="shared" si="13"/>
        <v>112899.19723399999</v>
      </c>
      <c r="O23" s="385">
        <f t="shared" si="13"/>
        <v>139881.59999999998</v>
      </c>
      <c r="P23" s="385">
        <f t="shared" si="13"/>
        <v>2832431.5514611974</v>
      </c>
      <c r="Q23" s="385">
        <f t="shared" si="13"/>
        <v>45821.644548414995</v>
      </c>
      <c r="R23" s="385">
        <f t="shared" si="13"/>
        <v>2878253.1960096126</v>
      </c>
    </row>
    <row r="25" spans="1:22" ht="12" customHeight="1">
      <c r="A25" s="52"/>
      <c r="B25" s="52"/>
      <c r="C25" s="52"/>
      <c r="H25" s="52"/>
      <c r="I25" s="52"/>
      <c r="J25" s="52"/>
      <c r="K25" s="52"/>
      <c r="O25" s="52"/>
      <c r="P25" s="52"/>
      <c r="Q25" s="52"/>
      <c r="R25" s="52"/>
    </row>
    <row r="26" spans="1:22" ht="12" customHeight="1">
      <c r="E26" s="55"/>
      <c r="F26" s="55"/>
      <c r="G26" s="55"/>
      <c r="H26" s="55"/>
      <c r="L26" s="55"/>
      <c r="M26" s="55"/>
      <c r="N26" s="55"/>
    </row>
    <row r="27" spans="1:22" ht="12" customHeight="1">
      <c r="E27" s="55"/>
      <c r="F27" s="55"/>
      <c r="G27" s="55"/>
      <c r="L27" s="55"/>
      <c r="M27" s="55"/>
      <c r="N27" s="55"/>
    </row>
    <row r="28" spans="1:22" ht="12" customHeight="1">
      <c r="E28" s="55"/>
      <c r="F28" s="55"/>
      <c r="G28" s="55"/>
      <c r="L28" s="55"/>
      <c r="M28" s="55"/>
      <c r="N28" s="55"/>
    </row>
    <row r="29" spans="1:22" ht="35.1" customHeight="1">
      <c r="A29" s="421" t="s">
        <v>190</v>
      </c>
      <c r="B29" s="421"/>
      <c r="C29" s="421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</row>
    <row r="30" spans="1:22" ht="84.95" customHeight="1">
      <c r="A30" s="198">
        <f>A4</f>
        <v>2026</v>
      </c>
      <c r="B30" s="336" t="s">
        <v>66</v>
      </c>
      <c r="C30" s="336" t="s">
        <v>67</v>
      </c>
      <c r="D30" s="336" t="s">
        <v>68</v>
      </c>
      <c r="E30" s="336" t="s">
        <v>88</v>
      </c>
      <c r="F30" s="336" t="s">
        <v>69</v>
      </c>
      <c r="G30" s="336" t="s">
        <v>70</v>
      </c>
      <c r="H30" s="336" t="s">
        <v>71</v>
      </c>
      <c r="I30" s="336" t="s">
        <v>72</v>
      </c>
      <c r="J30" s="336" t="s">
        <v>73</v>
      </c>
      <c r="K30" s="336" t="s">
        <v>74</v>
      </c>
      <c r="L30" s="336" t="s">
        <v>75</v>
      </c>
      <c r="M30" s="336" t="s">
        <v>76</v>
      </c>
      <c r="N30" s="336" t="s">
        <v>77</v>
      </c>
      <c r="O30" s="336" t="s">
        <v>78</v>
      </c>
      <c r="P30" s="336" t="s">
        <v>79</v>
      </c>
      <c r="Q30" s="336" t="s">
        <v>92</v>
      </c>
      <c r="R30" s="336" t="s">
        <v>80</v>
      </c>
    </row>
    <row r="31" spans="1:22" ht="20.100000000000001" customHeight="1">
      <c r="A31" s="157" t="s">
        <v>157</v>
      </c>
      <c r="B31" s="214">
        <v>471395.67250400002</v>
      </c>
      <c r="C31" s="214">
        <v>1688401.9411200001</v>
      </c>
      <c r="D31" s="215">
        <v>454093.72933999996</v>
      </c>
      <c r="E31" s="215">
        <v>580993.41591999994</v>
      </c>
      <c r="F31" s="215">
        <v>515207.20811000001</v>
      </c>
      <c r="G31" s="215">
        <v>1422160.1530280001</v>
      </c>
      <c r="H31" s="215">
        <v>833715.72913999995</v>
      </c>
      <c r="I31" s="215">
        <v>566474.96141300001</v>
      </c>
      <c r="J31" s="215">
        <v>567410.16197000002</v>
      </c>
      <c r="K31" s="214">
        <v>1371588.5356453541</v>
      </c>
      <c r="L31" s="214">
        <v>1726092.640374701</v>
      </c>
      <c r="M31" s="215">
        <v>1936069.1084639998</v>
      </c>
      <c r="N31" s="215">
        <v>524770.291172</v>
      </c>
      <c r="O31" s="215">
        <v>659280.82724000001</v>
      </c>
      <c r="P31" s="215">
        <v>13317654.375441056</v>
      </c>
      <c r="Q31" s="215">
        <v>179947.83733400001</v>
      </c>
      <c r="R31" s="215">
        <v>13497602.212775055</v>
      </c>
      <c r="S31" s="48"/>
      <c r="T31" s="49"/>
      <c r="U31" s="49"/>
      <c r="V31" s="49"/>
    </row>
    <row r="32" spans="1:22" ht="20.100000000000001" customHeight="1">
      <c r="A32" s="157" t="s">
        <v>158</v>
      </c>
      <c r="B32" s="214">
        <v>351995.58341899997</v>
      </c>
      <c r="C32" s="215">
        <v>1259757.1817400001</v>
      </c>
      <c r="D32" s="215">
        <v>324845.77831999998</v>
      </c>
      <c r="E32" s="215">
        <v>413178.17230999999</v>
      </c>
      <c r="F32" s="215">
        <v>391809.14588999999</v>
      </c>
      <c r="G32" s="215">
        <v>1106454.9802919999</v>
      </c>
      <c r="H32" s="215">
        <v>622057.23028999998</v>
      </c>
      <c r="I32" s="215">
        <v>427014.11165700003</v>
      </c>
      <c r="J32" s="215">
        <v>440124.90480000002</v>
      </c>
      <c r="K32" s="214">
        <v>971999.90168244089</v>
      </c>
      <c r="L32" s="215">
        <v>1264624.292886355</v>
      </c>
      <c r="M32" s="215">
        <v>1449125.419862</v>
      </c>
      <c r="N32" s="215">
        <v>395651.64451499999</v>
      </c>
      <c r="O32" s="215">
        <v>489399.09982</v>
      </c>
      <c r="P32" s="215">
        <v>9908037.4474837948</v>
      </c>
      <c r="Q32" s="215">
        <v>180979.40418600003</v>
      </c>
      <c r="R32" s="215">
        <v>10089016.851669794</v>
      </c>
      <c r="S32" s="50"/>
      <c r="T32" s="49"/>
      <c r="U32" s="49"/>
      <c r="V32" s="49"/>
    </row>
    <row r="33" spans="1:22" ht="20.100000000000001" customHeight="1">
      <c r="A33" s="160" t="s">
        <v>159</v>
      </c>
      <c r="B33" s="217">
        <v>287634.43402599997</v>
      </c>
      <c r="C33" s="218">
        <v>934712.022</v>
      </c>
      <c r="D33" s="218">
        <v>203539.21263000002</v>
      </c>
      <c r="E33" s="218">
        <v>325108.22678999999</v>
      </c>
      <c r="F33" s="218">
        <v>308721.56764999998</v>
      </c>
      <c r="G33" s="218">
        <v>906497.4010650001</v>
      </c>
      <c r="H33" s="218">
        <v>478867.20264999999</v>
      </c>
      <c r="I33" s="218">
        <v>348861.78841400001</v>
      </c>
      <c r="J33" s="218">
        <v>362953.16344000003</v>
      </c>
      <c r="K33" s="217">
        <v>771748.58741414407</v>
      </c>
      <c r="L33" s="218">
        <v>1081733.7417068991</v>
      </c>
      <c r="M33" s="218">
        <v>1067046.2651170001</v>
      </c>
      <c r="N33" s="218">
        <v>314830.26645899995</v>
      </c>
      <c r="O33" s="218">
        <v>381682.32305999997</v>
      </c>
      <c r="P33" s="218">
        <v>7773936.2024220442</v>
      </c>
      <c r="Q33" s="218">
        <v>140578.78254300004</v>
      </c>
      <c r="R33" s="218">
        <v>7914514.9849650441</v>
      </c>
      <c r="S33" s="51"/>
      <c r="T33" s="49"/>
      <c r="U33" s="49"/>
      <c r="V33" s="49"/>
    </row>
    <row r="34" spans="1:22" ht="20.100000000000001" customHeight="1">
      <c r="A34" s="157" t="s">
        <v>160</v>
      </c>
      <c r="B34" s="214"/>
      <c r="C34" s="215"/>
      <c r="D34" s="215"/>
      <c r="E34" s="215"/>
      <c r="F34" s="215"/>
      <c r="G34" s="215"/>
      <c r="H34" s="215"/>
      <c r="I34" s="215"/>
      <c r="J34" s="215"/>
      <c r="K34" s="214"/>
      <c r="L34" s="215"/>
      <c r="M34" s="215"/>
      <c r="N34" s="215"/>
      <c r="O34" s="215"/>
      <c r="P34" s="215"/>
      <c r="Q34" s="215"/>
      <c r="R34" s="215"/>
      <c r="S34" s="50"/>
      <c r="T34" s="49"/>
      <c r="U34" s="49"/>
      <c r="V34" s="49"/>
    </row>
    <row r="35" spans="1:22" ht="20.100000000000001" customHeight="1">
      <c r="A35" s="157" t="s">
        <v>161</v>
      </c>
      <c r="B35" s="214"/>
      <c r="C35" s="215"/>
      <c r="D35" s="215"/>
      <c r="E35" s="215"/>
      <c r="F35" s="215"/>
      <c r="G35" s="215"/>
      <c r="H35" s="215"/>
      <c r="I35" s="215"/>
      <c r="J35" s="215"/>
      <c r="K35" s="214"/>
      <c r="L35" s="215"/>
      <c r="M35" s="215"/>
      <c r="N35" s="215"/>
      <c r="O35" s="215"/>
      <c r="P35" s="215"/>
      <c r="Q35" s="215"/>
      <c r="R35" s="215"/>
      <c r="S35" s="50"/>
      <c r="T35" s="49"/>
      <c r="U35" s="49"/>
      <c r="V35" s="49"/>
    </row>
    <row r="36" spans="1:22" ht="20.100000000000001" customHeight="1">
      <c r="A36" s="160" t="s">
        <v>162</v>
      </c>
      <c r="B36" s="217"/>
      <c r="C36" s="218"/>
      <c r="D36" s="218"/>
      <c r="E36" s="218"/>
      <c r="F36" s="218"/>
      <c r="G36" s="218"/>
      <c r="H36" s="218"/>
      <c r="I36" s="218"/>
      <c r="J36" s="218"/>
      <c r="K36" s="217"/>
      <c r="L36" s="218"/>
      <c r="M36" s="218"/>
      <c r="N36" s="218"/>
      <c r="O36" s="218"/>
      <c r="P36" s="218"/>
      <c r="Q36" s="218"/>
      <c r="R36" s="218"/>
      <c r="S36" s="50"/>
      <c r="T36" s="49"/>
      <c r="U36" s="49"/>
      <c r="V36" s="49"/>
    </row>
    <row r="37" spans="1:22" ht="20.100000000000001" customHeight="1">
      <c r="A37" s="157" t="s">
        <v>163</v>
      </c>
      <c r="B37" s="214"/>
      <c r="C37" s="215"/>
      <c r="D37" s="215"/>
      <c r="E37" s="215"/>
      <c r="F37" s="215"/>
      <c r="G37" s="215"/>
      <c r="H37" s="215"/>
      <c r="I37" s="215"/>
      <c r="J37" s="215"/>
      <c r="K37" s="214"/>
      <c r="L37" s="215"/>
      <c r="M37" s="215"/>
      <c r="N37" s="215"/>
      <c r="O37" s="215"/>
      <c r="P37" s="215"/>
      <c r="Q37" s="215"/>
      <c r="R37" s="215"/>
      <c r="S37" s="50"/>
      <c r="T37" s="49"/>
      <c r="U37" s="49"/>
      <c r="V37" s="49"/>
    </row>
    <row r="38" spans="1:22" ht="20.100000000000001" customHeight="1">
      <c r="A38" s="157" t="s">
        <v>164</v>
      </c>
      <c r="B38" s="214"/>
      <c r="C38" s="215"/>
      <c r="D38" s="215"/>
      <c r="E38" s="215"/>
      <c r="F38" s="215"/>
      <c r="G38" s="215"/>
      <c r="H38" s="215"/>
      <c r="I38" s="215"/>
      <c r="J38" s="215"/>
      <c r="K38" s="214"/>
      <c r="L38" s="215"/>
      <c r="M38" s="215"/>
      <c r="N38" s="215"/>
      <c r="O38" s="215"/>
      <c r="P38" s="215"/>
      <c r="Q38" s="215"/>
      <c r="R38" s="215"/>
      <c r="S38" s="50"/>
      <c r="T38" s="49"/>
      <c r="U38" s="49"/>
      <c r="V38" s="49"/>
    </row>
    <row r="39" spans="1:22" ht="20.100000000000001" customHeight="1">
      <c r="A39" s="160" t="s">
        <v>165</v>
      </c>
      <c r="B39" s="217"/>
      <c r="C39" s="218"/>
      <c r="D39" s="218"/>
      <c r="E39" s="218"/>
      <c r="F39" s="218"/>
      <c r="G39" s="218"/>
      <c r="H39" s="218"/>
      <c r="I39" s="218"/>
      <c r="J39" s="218"/>
      <c r="K39" s="217"/>
      <c r="L39" s="218"/>
      <c r="M39" s="218"/>
      <c r="N39" s="218"/>
      <c r="O39" s="218"/>
      <c r="P39" s="218"/>
      <c r="Q39" s="218"/>
      <c r="R39" s="218"/>
      <c r="S39" s="50"/>
      <c r="T39" s="49"/>
      <c r="U39" s="49"/>
      <c r="V39" s="49"/>
    </row>
    <row r="40" spans="1:22" ht="20.100000000000001" customHeight="1">
      <c r="A40" s="157" t="s">
        <v>166</v>
      </c>
      <c r="B40" s="214"/>
      <c r="C40" s="215"/>
      <c r="D40" s="215"/>
      <c r="E40" s="215"/>
      <c r="F40" s="215"/>
      <c r="G40" s="215"/>
      <c r="H40" s="215"/>
      <c r="I40" s="215"/>
      <c r="J40" s="215"/>
      <c r="K40" s="214"/>
      <c r="L40" s="215"/>
      <c r="M40" s="215"/>
      <c r="N40" s="215"/>
      <c r="O40" s="215"/>
      <c r="P40" s="215"/>
      <c r="Q40" s="215"/>
      <c r="R40" s="215"/>
      <c r="S40" s="50"/>
      <c r="T40" s="49"/>
      <c r="U40" s="49"/>
      <c r="V40" s="49"/>
    </row>
    <row r="41" spans="1:22" ht="20.100000000000001" customHeight="1">
      <c r="A41" s="157" t="s">
        <v>167</v>
      </c>
      <c r="B41" s="214"/>
      <c r="C41" s="215"/>
      <c r="D41" s="215"/>
      <c r="E41" s="215"/>
      <c r="F41" s="215"/>
      <c r="G41" s="215"/>
      <c r="H41" s="215"/>
      <c r="I41" s="215"/>
      <c r="J41" s="215"/>
      <c r="K41" s="214"/>
      <c r="L41" s="215"/>
      <c r="M41" s="215"/>
      <c r="N41" s="215"/>
      <c r="O41" s="215"/>
      <c r="P41" s="215"/>
      <c r="Q41" s="215"/>
      <c r="R41" s="215"/>
      <c r="S41" s="50"/>
      <c r="T41" s="49"/>
      <c r="U41" s="49"/>
      <c r="V41" s="49"/>
    </row>
    <row r="42" spans="1:22" ht="20.100000000000001" customHeight="1">
      <c r="A42" s="160" t="s">
        <v>168</v>
      </c>
      <c r="B42" s="217"/>
      <c r="C42" s="218"/>
      <c r="D42" s="218"/>
      <c r="E42" s="218"/>
      <c r="F42" s="218"/>
      <c r="G42" s="218"/>
      <c r="H42" s="218"/>
      <c r="I42" s="218"/>
      <c r="J42" s="218"/>
      <c r="K42" s="217"/>
      <c r="L42" s="218"/>
      <c r="M42" s="218"/>
      <c r="N42" s="218"/>
      <c r="O42" s="218"/>
      <c r="P42" s="218"/>
      <c r="Q42" s="218"/>
      <c r="R42" s="218"/>
      <c r="S42" s="50"/>
      <c r="T42" s="49"/>
      <c r="U42" s="49"/>
      <c r="V42" s="49"/>
    </row>
    <row r="43" spans="1:22" ht="20.100000000000001" customHeight="1">
      <c r="A43" s="157" t="s">
        <v>47</v>
      </c>
      <c r="B43" s="214">
        <f>SUM(B31:B33)</f>
        <v>1111025.6899489998</v>
      </c>
      <c r="C43" s="214">
        <f>SUM(C31:C33)</f>
        <v>3882871.1448600003</v>
      </c>
      <c r="D43" s="214">
        <f t="shared" ref="D43:J43" si="14">SUM(D31:D33)</f>
        <v>982478.72028999985</v>
      </c>
      <c r="E43" s="214">
        <f t="shared" si="14"/>
        <v>1319279.8150199999</v>
      </c>
      <c r="F43" s="214">
        <f t="shared" si="14"/>
        <v>1215737.9216499999</v>
      </c>
      <c r="G43" s="214">
        <f t="shared" si="14"/>
        <v>3435112.5343850004</v>
      </c>
      <c r="H43" s="214">
        <f t="shared" si="14"/>
        <v>1934640.1620799997</v>
      </c>
      <c r="I43" s="214">
        <f t="shared" si="14"/>
        <v>1342350.861484</v>
      </c>
      <c r="J43" s="214">
        <f t="shared" si="14"/>
        <v>1370488.2302100002</v>
      </c>
      <c r="K43" s="214">
        <f>SUM(K31:K33)</f>
        <v>3115337.0247419388</v>
      </c>
      <c r="L43" s="214">
        <f t="shared" ref="L43:Q43" si="15">SUM(L31:L33)</f>
        <v>4072450.6749679549</v>
      </c>
      <c r="M43" s="214">
        <f t="shared" si="15"/>
        <v>4452240.7934429999</v>
      </c>
      <c r="N43" s="214">
        <f t="shared" si="15"/>
        <v>1235252.2021459998</v>
      </c>
      <c r="O43" s="214">
        <f t="shared" si="15"/>
        <v>1530362.25012</v>
      </c>
      <c r="P43" s="214">
        <f t="shared" si="15"/>
        <v>30999628.025346898</v>
      </c>
      <c r="Q43" s="214">
        <f t="shared" si="15"/>
        <v>501506.02406300011</v>
      </c>
      <c r="R43" s="214">
        <f>SUM(R31:R33)</f>
        <v>31501134.049409892</v>
      </c>
    </row>
    <row r="44" spans="1:22" ht="20.100000000000001" customHeight="1">
      <c r="A44" s="157" t="s">
        <v>55</v>
      </c>
      <c r="B44" s="379">
        <f>SUM(B34:B36)</f>
        <v>0</v>
      </c>
      <c r="C44" s="379">
        <f>SUM(C34:C36)</f>
        <v>0</v>
      </c>
      <c r="D44" s="379">
        <f t="shared" ref="D44:J44" si="16">SUM(D34:D36)</f>
        <v>0</v>
      </c>
      <c r="E44" s="379">
        <f t="shared" si="16"/>
        <v>0</v>
      </c>
      <c r="F44" s="379">
        <f t="shared" si="16"/>
        <v>0</v>
      </c>
      <c r="G44" s="379">
        <f t="shared" si="16"/>
        <v>0</v>
      </c>
      <c r="H44" s="379">
        <f t="shared" si="16"/>
        <v>0</v>
      </c>
      <c r="I44" s="379">
        <f t="shared" si="16"/>
        <v>0</v>
      </c>
      <c r="J44" s="379">
        <f t="shared" si="16"/>
        <v>0</v>
      </c>
      <c r="K44" s="379">
        <f>SUM(K34:K36)</f>
        <v>0</v>
      </c>
      <c r="L44" s="379">
        <f t="shared" ref="L44:Q44" si="17">SUM(L34:L36)</f>
        <v>0</v>
      </c>
      <c r="M44" s="379">
        <f t="shared" si="17"/>
        <v>0</v>
      </c>
      <c r="N44" s="379">
        <f t="shared" si="17"/>
        <v>0</v>
      </c>
      <c r="O44" s="379">
        <f t="shared" si="17"/>
        <v>0</v>
      </c>
      <c r="P44" s="379">
        <f t="shared" si="17"/>
        <v>0</v>
      </c>
      <c r="Q44" s="379">
        <f t="shared" si="17"/>
        <v>0</v>
      </c>
      <c r="R44" s="379">
        <f>SUM(R34:R36)</f>
        <v>0</v>
      </c>
    </row>
    <row r="45" spans="1:22" ht="20.100000000000001" customHeight="1">
      <c r="A45" s="157" t="s">
        <v>62</v>
      </c>
      <c r="B45" s="379">
        <f>SUM(B37:B39)</f>
        <v>0</v>
      </c>
      <c r="C45" s="379">
        <f>SUM(C37:C39)</f>
        <v>0</v>
      </c>
      <c r="D45" s="379">
        <f t="shared" ref="D45:J45" si="18">SUM(D37:D39)</f>
        <v>0</v>
      </c>
      <c r="E45" s="379">
        <f t="shared" si="18"/>
        <v>0</v>
      </c>
      <c r="F45" s="379">
        <f t="shared" si="18"/>
        <v>0</v>
      </c>
      <c r="G45" s="379">
        <f t="shared" si="18"/>
        <v>0</v>
      </c>
      <c r="H45" s="379">
        <f t="shared" si="18"/>
        <v>0</v>
      </c>
      <c r="I45" s="379">
        <f t="shared" si="18"/>
        <v>0</v>
      </c>
      <c r="J45" s="379">
        <f t="shared" si="18"/>
        <v>0</v>
      </c>
      <c r="K45" s="379">
        <f>SUM(K37:K39)</f>
        <v>0</v>
      </c>
      <c r="L45" s="379">
        <f t="shared" ref="L45:R45" si="19">SUM(L37:L39)</f>
        <v>0</v>
      </c>
      <c r="M45" s="379">
        <f t="shared" si="19"/>
        <v>0</v>
      </c>
      <c r="N45" s="379">
        <f t="shared" si="19"/>
        <v>0</v>
      </c>
      <c r="O45" s="379">
        <f t="shared" si="19"/>
        <v>0</v>
      </c>
      <c r="P45" s="379">
        <f t="shared" si="19"/>
        <v>0</v>
      </c>
      <c r="Q45" s="379">
        <f t="shared" si="19"/>
        <v>0</v>
      </c>
      <c r="R45" s="379">
        <f t="shared" si="19"/>
        <v>0</v>
      </c>
    </row>
    <row r="46" spans="1:22" ht="20.100000000000001" customHeight="1">
      <c r="A46" s="160" t="s">
        <v>56</v>
      </c>
      <c r="B46" s="382">
        <f>SUM(B40:B42)</f>
        <v>0</v>
      </c>
      <c r="C46" s="382">
        <f>SUM(C40:C42)</f>
        <v>0</v>
      </c>
      <c r="D46" s="382">
        <f t="shared" ref="D46:J46" si="20">SUM(D40:D42)</f>
        <v>0</v>
      </c>
      <c r="E46" s="382">
        <f t="shared" si="20"/>
        <v>0</v>
      </c>
      <c r="F46" s="382">
        <f t="shared" si="20"/>
        <v>0</v>
      </c>
      <c r="G46" s="382">
        <f t="shared" si="20"/>
        <v>0</v>
      </c>
      <c r="H46" s="382">
        <f t="shared" si="20"/>
        <v>0</v>
      </c>
      <c r="I46" s="382">
        <f t="shared" si="20"/>
        <v>0</v>
      </c>
      <c r="J46" s="382">
        <f t="shared" si="20"/>
        <v>0</v>
      </c>
      <c r="K46" s="382">
        <f>SUM(K40:K42)</f>
        <v>0</v>
      </c>
      <c r="L46" s="382">
        <f t="shared" ref="L46:R46" si="21">SUM(L40:L42)</f>
        <v>0</v>
      </c>
      <c r="M46" s="382">
        <f t="shared" si="21"/>
        <v>0</v>
      </c>
      <c r="N46" s="382">
        <f t="shared" si="21"/>
        <v>0</v>
      </c>
      <c r="O46" s="382">
        <f t="shared" si="21"/>
        <v>0</v>
      </c>
      <c r="P46" s="382">
        <f t="shared" si="21"/>
        <v>0</v>
      </c>
      <c r="Q46" s="382">
        <f t="shared" si="21"/>
        <v>0</v>
      </c>
      <c r="R46" s="382">
        <f t="shared" si="21"/>
        <v>0</v>
      </c>
    </row>
    <row r="47" spans="1:22" ht="20.100000000000001" customHeight="1">
      <c r="A47" s="157" t="s">
        <v>57</v>
      </c>
      <c r="B47" s="379">
        <f>SUM(B31:B36)</f>
        <v>1111025.6899489998</v>
      </c>
      <c r="C47" s="379">
        <f>SUM(C31:C36)</f>
        <v>3882871.1448600003</v>
      </c>
      <c r="D47" s="379">
        <f t="shared" ref="D47:J47" si="22">SUM(D31:D36)</f>
        <v>982478.72028999985</v>
      </c>
      <c r="E47" s="379">
        <f t="shared" si="22"/>
        <v>1319279.8150199999</v>
      </c>
      <c r="F47" s="379">
        <f t="shared" si="22"/>
        <v>1215737.9216499999</v>
      </c>
      <c r="G47" s="379">
        <f t="shared" si="22"/>
        <v>3435112.5343850004</v>
      </c>
      <c r="H47" s="379">
        <f t="shared" si="22"/>
        <v>1934640.1620799997</v>
      </c>
      <c r="I47" s="379">
        <f t="shared" si="22"/>
        <v>1342350.861484</v>
      </c>
      <c r="J47" s="379">
        <f t="shared" si="22"/>
        <v>1370488.2302100002</v>
      </c>
      <c r="K47" s="379">
        <f>SUM(K31:K36)</f>
        <v>3115337.0247419388</v>
      </c>
      <c r="L47" s="379">
        <f t="shared" ref="L47:R47" si="23">SUM(L31:L36)</f>
        <v>4072450.6749679549</v>
      </c>
      <c r="M47" s="379">
        <f t="shared" si="23"/>
        <v>4452240.7934429999</v>
      </c>
      <c r="N47" s="379">
        <f t="shared" si="23"/>
        <v>1235252.2021459998</v>
      </c>
      <c r="O47" s="379">
        <f t="shared" si="23"/>
        <v>1530362.25012</v>
      </c>
      <c r="P47" s="379">
        <f t="shared" si="23"/>
        <v>30999628.025346898</v>
      </c>
      <c r="Q47" s="379">
        <f t="shared" si="23"/>
        <v>501506.02406300011</v>
      </c>
      <c r="R47" s="379">
        <f t="shared" si="23"/>
        <v>31501134.049409892</v>
      </c>
    </row>
    <row r="48" spans="1:22" ht="20.100000000000001" customHeight="1">
      <c r="A48" s="160" t="s">
        <v>58</v>
      </c>
      <c r="B48" s="382">
        <f>SUM(B37:B42)</f>
        <v>0</v>
      </c>
      <c r="C48" s="382">
        <f>SUM(C37:C42)</f>
        <v>0</v>
      </c>
      <c r="D48" s="382">
        <f t="shared" ref="D48:J48" si="24">SUM(D37:D42)</f>
        <v>0</v>
      </c>
      <c r="E48" s="382">
        <f t="shared" si="24"/>
        <v>0</v>
      </c>
      <c r="F48" s="382">
        <f t="shared" si="24"/>
        <v>0</v>
      </c>
      <c r="G48" s="382">
        <f t="shared" si="24"/>
        <v>0</v>
      </c>
      <c r="H48" s="382">
        <f t="shared" si="24"/>
        <v>0</v>
      </c>
      <c r="I48" s="382">
        <f t="shared" si="24"/>
        <v>0</v>
      </c>
      <c r="J48" s="382">
        <f t="shared" si="24"/>
        <v>0</v>
      </c>
      <c r="K48" s="382">
        <f>SUM(K37:K42)</f>
        <v>0</v>
      </c>
      <c r="L48" s="382">
        <f t="shared" ref="L48:R48" si="25">SUM(L37:L42)</f>
        <v>0</v>
      </c>
      <c r="M48" s="382">
        <f t="shared" si="25"/>
        <v>0</v>
      </c>
      <c r="N48" s="382">
        <f t="shared" si="25"/>
        <v>0</v>
      </c>
      <c r="O48" s="382">
        <f t="shared" si="25"/>
        <v>0</v>
      </c>
      <c r="P48" s="382">
        <f t="shared" si="25"/>
        <v>0</v>
      </c>
      <c r="Q48" s="382">
        <f t="shared" si="25"/>
        <v>0</v>
      </c>
      <c r="R48" s="382">
        <f t="shared" si="25"/>
        <v>0</v>
      </c>
    </row>
    <row r="49" spans="1:18" ht="20.100000000000001" customHeight="1">
      <c r="A49" s="160" t="s">
        <v>169</v>
      </c>
      <c r="B49" s="382">
        <f>SUM(B31:B42)</f>
        <v>1111025.6899489998</v>
      </c>
      <c r="C49" s="382">
        <f>SUM(C31:C42)</f>
        <v>3882871.1448600003</v>
      </c>
      <c r="D49" s="382">
        <f t="shared" ref="D49:J49" si="26">SUM(D31:D42)</f>
        <v>982478.72028999985</v>
      </c>
      <c r="E49" s="382">
        <f t="shared" si="26"/>
        <v>1319279.8150199999</v>
      </c>
      <c r="F49" s="382">
        <f t="shared" si="26"/>
        <v>1215737.9216499999</v>
      </c>
      <c r="G49" s="382">
        <f t="shared" si="26"/>
        <v>3435112.5343850004</v>
      </c>
      <c r="H49" s="382">
        <f t="shared" si="26"/>
        <v>1934640.1620799997</v>
      </c>
      <c r="I49" s="382">
        <f t="shared" si="26"/>
        <v>1342350.861484</v>
      </c>
      <c r="J49" s="382">
        <f t="shared" si="26"/>
        <v>1370488.2302100002</v>
      </c>
      <c r="K49" s="382">
        <f>SUM(K31:K42)</f>
        <v>3115337.0247419388</v>
      </c>
      <c r="L49" s="382">
        <f t="shared" ref="L49:R49" si="27">SUM(L31:L42)</f>
        <v>4072450.6749679549</v>
      </c>
      <c r="M49" s="382">
        <f t="shared" si="27"/>
        <v>4452240.7934429999</v>
      </c>
      <c r="N49" s="382">
        <f t="shared" si="27"/>
        <v>1235252.2021459998</v>
      </c>
      <c r="O49" s="382">
        <f t="shared" si="27"/>
        <v>1530362.25012</v>
      </c>
      <c r="P49" s="382">
        <f t="shared" si="27"/>
        <v>30999628.025346898</v>
      </c>
      <c r="Q49" s="382">
        <f t="shared" si="27"/>
        <v>501506.02406300011</v>
      </c>
      <c r="R49" s="382">
        <f t="shared" si="27"/>
        <v>31501134.049409892</v>
      </c>
    </row>
    <row r="50" spans="1:18" ht="12" customHeight="1">
      <c r="E50" s="55"/>
      <c r="F50" s="55"/>
      <c r="G50" s="55"/>
      <c r="L50" s="55"/>
      <c r="M50" s="55"/>
      <c r="N50" s="55"/>
    </row>
    <row r="51" spans="1:18" ht="12" customHeight="1">
      <c r="E51" s="55"/>
      <c r="F51" s="55"/>
      <c r="G51" s="55"/>
      <c r="L51" s="55"/>
      <c r="M51" s="55"/>
      <c r="N51" s="55"/>
    </row>
    <row r="52" spans="1:18" ht="12" customHeight="1">
      <c r="E52" s="55"/>
      <c r="F52" s="55"/>
      <c r="G52" s="55"/>
      <c r="L52" s="55"/>
      <c r="M52" s="55"/>
      <c r="N52" s="55"/>
    </row>
    <row r="53" spans="1:18" ht="12" customHeight="1">
      <c r="E53" s="55"/>
      <c r="F53" s="55"/>
      <c r="G53" s="55"/>
      <c r="L53" s="55"/>
      <c r="M53" s="55"/>
      <c r="N53" s="55"/>
    </row>
    <row r="54" spans="1:18" ht="12" customHeight="1"/>
    <row r="55" spans="1:18" ht="12" customHeight="1"/>
    <row r="56" spans="1:18" ht="12" customHeight="1"/>
    <row r="57" spans="1:18" ht="12" customHeight="1"/>
    <row r="58" spans="1:18" ht="12" customHeight="1"/>
  </sheetData>
  <mergeCells count="4">
    <mergeCell ref="A29:R29"/>
    <mergeCell ref="A1:R1"/>
    <mergeCell ref="A2:I2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8:R18 B44:Q44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6"/>
  <dimension ref="A1:U29"/>
  <sheetViews>
    <sheetView showGridLines="0" zoomScaleNormal="100" zoomScaleSheetLayoutView="100" workbookViewId="0">
      <selection activeCell="C1" sqref="C1"/>
    </sheetView>
  </sheetViews>
  <sheetFormatPr defaultColWidth="9.140625" defaultRowHeight="12.75"/>
  <cols>
    <col min="1" max="1" width="6.42578125" style="96" customWidth="1"/>
    <col min="2" max="6" width="4.7109375" style="96" customWidth="1"/>
    <col min="7" max="9" width="4.85546875" style="96" customWidth="1"/>
    <col min="10" max="14" width="4.7109375" style="96" customWidth="1"/>
    <col min="15" max="15" width="3.7109375" style="96" customWidth="1"/>
    <col min="16" max="19" width="4.7109375" style="96" customWidth="1"/>
    <col min="20" max="20" width="3.7109375" style="96" customWidth="1"/>
    <col min="21" max="21" width="5" style="96" customWidth="1"/>
    <col min="22" max="16384" width="9.140625" style="96"/>
  </cols>
  <sheetData>
    <row r="1" spans="1:20" ht="20.25">
      <c r="A1" s="102" t="s">
        <v>277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>
      <c r="E2" s="97"/>
      <c r="F2" s="97"/>
    </row>
    <row r="3" spans="1:20" ht="15" customHeight="1">
      <c r="A3" s="434" t="s">
        <v>184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</row>
    <row r="4" spans="1:20" ht="15" customHeight="1">
      <c r="A4" s="63"/>
      <c r="C4" s="98"/>
      <c r="D4" s="98"/>
      <c r="E4" s="98"/>
      <c r="F4" s="98"/>
      <c r="G4" s="98"/>
      <c r="H4" s="53"/>
      <c r="I4" s="53"/>
    </row>
    <row r="5" spans="1:20" ht="15" customHeight="1">
      <c r="A5" s="63"/>
      <c r="C5" s="98"/>
      <c r="D5" s="98"/>
      <c r="E5" s="98"/>
      <c r="F5" s="98"/>
      <c r="G5" s="98"/>
      <c r="H5" s="53"/>
      <c r="I5" s="53"/>
    </row>
    <row r="6" spans="1:20" ht="15" customHeight="1">
      <c r="A6" s="63"/>
      <c r="B6" s="99"/>
      <c r="C6" s="99"/>
      <c r="D6" s="98"/>
      <c r="E6" s="98"/>
      <c r="F6" s="98"/>
      <c r="G6" s="99"/>
      <c r="H6" s="4"/>
      <c r="I6" s="53"/>
    </row>
    <row r="7" spans="1:20" ht="15" customHeight="1">
      <c r="A7" s="63"/>
      <c r="B7" s="99"/>
      <c r="C7" s="99"/>
      <c r="D7" s="98"/>
      <c r="E7" s="98"/>
      <c r="F7" s="98"/>
      <c r="G7" s="99"/>
      <c r="H7" s="4"/>
      <c r="I7" s="53"/>
    </row>
    <row r="8" spans="1:20" ht="15" customHeight="1">
      <c r="A8" s="63"/>
      <c r="B8" s="99"/>
      <c r="C8" s="99"/>
      <c r="D8" s="98"/>
      <c r="E8" s="98"/>
      <c r="F8" s="98"/>
      <c r="G8" s="99"/>
      <c r="H8" s="4"/>
      <c r="I8" s="53"/>
    </row>
    <row r="9" spans="1:20" ht="15" customHeight="1">
      <c r="A9" s="63"/>
      <c r="B9" s="98"/>
      <c r="C9" s="98"/>
      <c r="D9" s="98"/>
      <c r="E9" s="98"/>
      <c r="F9" s="98"/>
      <c r="G9" s="99"/>
      <c r="H9" s="4"/>
      <c r="I9" s="53"/>
    </row>
    <row r="10" spans="1:20" ht="15" customHeight="1">
      <c r="A10" s="63"/>
      <c r="B10" s="98"/>
      <c r="C10" s="98"/>
      <c r="D10" s="98"/>
      <c r="E10" s="98"/>
      <c r="F10" s="98"/>
      <c r="G10" s="98"/>
      <c r="H10" s="53"/>
      <c r="I10" s="53"/>
    </row>
    <row r="11" spans="1:20" ht="15" customHeight="1">
      <c r="A11" s="63"/>
      <c r="B11" s="98"/>
      <c r="C11" s="98"/>
      <c r="D11" s="98"/>
      <c r="E11" s="98"/>
      <c r="F11" s="98"/>
      <c r="G11" s="98"/>
      <c r="H11" s="53"/>
      <c r="I11" s="53"/>
    </row>
    <row r="12" spans="1:20" ht="15" customHeight="1">
      <c r="A12" s="63"/>
      <c r="B12" s="98"/>
      <c r="C12" s="98"/>
      <c r="D12" s="98"/>
      <c r="E12" s="98"/>
      <c r="F12" s="98"/>
      <c r="G12" s="98"/>
      <c r="H12" s="53"/>
      <c r="I12" s="53"/>
    </row>
    <row r="13" spans="1:20" ht="15" customHeight="1">
      <c r="A13" s="63"/>
      <c r="B13" s="98"/>
      <c r="C13" s="98"/>
      <c r="D13" s="98"/>
      <c r="E13" s="98"/>
      <c r="F13" s="98"/>
      <c r="G13" s="98"/>
      <c r="H13" s="53"/>
      <c r="I13" s="53"/>
    </row>
    <row r="14" spans="1:20" ht="15" customHeight="1">
      <c r="A14" s="63"/>
      <c r="B14" s="98"/>
      <c r="C14" s="98"/>
      <c r="D14" s="98"/>
      <c r="E14" s="98"/>
      <c r="F14" s="98"/>
      <c r="G14" s="98"/>
      <c r="H14" s="100"/>
      <c r="I14" s="100"/>
    </row>
    <row r="15" spans="1:20" ht="15" customHeight="1">
      <c r="H15" s="101"/>
      <c r="I15" s="101"/>
    </row>
    <row r="16" spans="1:20" ht="15" customHeight="1"/>
    <row r="17" spans="2:21" ht="15" customHeight="1"/>
    <row r="18" spans="2:21" ht="15" customHeight="1"/>
    <row r="19" spans="2:21" ht="15" customHeight="1"/>
    <row r="20" spans="2:21" ht="15" customHeight="1"/>
    <row r="21" spans="2:21" ht="12.95" customHeight="1">
      <c r="B21" s="4"/>
      <c r="C21" s="4"/>
      <c r="D21" s="4"/>
    </row>
    <row r="22" spans="2:21" ht="12.95" customHeight="1">
      <c r="B22" s="4"/>
      <c r="C22" s="4"/>
      <c r="D22" s="4"/>
      <c r="G22" s="508"/>
      <c r="H22" s="508"/>
      <c r="I22" s="508"/>
      <c r="K22" s="508"/>
      <c r="L22" s="508"/>
      <c r="M22" s="508"/>
      <c r="N22" s="508"/>
      <c r="P22" s="508"/>
      <c r="Q22" s="508"/>
      <c r="R22" s="508"/>
      <c r="S22" s="508"/>
      <c r="T22" s="508"/>
      <c r="U22" s="508"/>
    </row>
    <row r="23" spans="2:21" ht="12.95" customHeight="1">
      <c r="B23" s="4"/>
      <c r="C23" s="4"/>
      <c r="D23" s="4"/>
      <c r="G23" s="508"/>
      <c r="H23" s="508"/>
      <c r="I23" s="508"/>
      <c r="K23" s="509"/>
      <c r="L23" s="509"/>
      <c r="M23" s="509"/>
      <c r="N23" s="509"/>
      <c r="P23" s="508"/>
      <c r="Q23" s="508"/>
      <c r="R23" s="508"/>
      <c r="S23" s="508"/>
      <c r="T23" s="508"/>
      <c r="U23" s="508"/>
    </row>
    <row r="24" spans="2:21" ht="12.95" customHeight="1">
      <c r="B24" s="4"/>
      <c r="C24" s="4"/>
      <c r="D24" s="4"/>
      <c r="G24" s="508"/>
      <c r="H24" s="508"/>
      <c r="I24" s="508"/>
      <c r="K24" s="509"/>
      <c r="L24" s="509"/>
      <c r="M24" s="509"/>
      <c r="N24" s="509"/>
      <c r="P24" s="509"/>
      <c r="Q24" s="509"/>
      <c r="R24" s="509"/>
      <c r="S24" s="509"/>
      <c r="T24" s="509"/>
      <c r="U24" s="509"/>
    </row>
    <row r="25" spans="2:21" ht="12" customHeight="1">
      <c r="H25" s="101"/>
      <c r="I25" s="101"/>
      <c r="P25" s="509"/>
      <c r="Q25" s="509"/>
      <c r="R25" s="509"/>
      <c r="S25" s="509"/>
      <c r="T25" s="509"/>
      <c r="U25" s="509"/>
    </row>
    <row r="26" spans="2:21" ht="15" customHeight="1"/>
    <row r="27" spans="2:21" ht="15" customHeight="1"/>
    <row r="28" spans="2:21" ht="15" customHeight="1"/>
    <row r="29" spans="2:21" ht="15" customHeight="1"/>
  </sheetData>
  <mergeCells count="9"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zoomScaleNormal="100" zoomScaleSheetLayoutView="100" workbookViewId="0">
      <selection activeCell="C1" sqref="C1"/>
    </sheetView>
  </sheetViews>
  <sheetFormatPr defaultColWidth="9.140625" defaultRowHeight="14.25"/>
  <cols>
    <col min="1" max="1" width="20.28515625" style="1" customWidth="1"/>
    <col min="2" max="2" width="79" style="21" customWidth="1"/>
    <col min="3" max="3" width="6.5703125" style="19" customWidth="1"/>
    <col min="4" max="4" width="11.7109375" style="19" customWidth="1"/>
    <col min="5" max="6" width="9.140625" style="19"/>
    <col min="7" max="7" width="11.7109375" style="19" customWidth="1"/>
    <col min="8" max="16384" width="9.140625" style="19"/>
  </cols>
  <sheetData>
    <row r="1" spans="1:2" ht="20.25">
      <c r="A1" s="46" t="s">
        <v>272</v>
      </c>
      <c r="B1" s="18"/>
    </row>
    <row r="2" spans="1:2" ht="6" customHeight="1">
      <c r="B2" s="18"/>
    </row>
    <row r="3" spans="1:2" ht="39.950000000000003" customHeight="1">
      <c r="A3" s="10" t="s">
        <v>226</v>
      </c>
      <c r="B3" s="11" t="s">
        <v>297</v>
      </c>
    </row>
    <row r="4" spans="1:2" ht="24.95" customHeight="1">
      <c r="A4" s="12" t="s">
        <v>90</v>
      </c>
      <c r="B4" s="13" t="s">
        <v>95</v>
      </c>
    </row>
    <row r="5" spans="1:2" ht="24.95" customHeight="1">
      <c r="A5" s="12" t="s">
        <v>96</v>
      </c>
      <c r="B5" s="14" t="s">
        <v>97</v>
      </c>
    </row>
    <row r="6" spans="1:2" ht="24.95" customHeight="1">
      <c r="A6" s="12" t="s">
        <v>7</v>
      </c>
      <c r="B6" s="13" t="s">
        <v>98</v>
      </c>
    </row>
    <row r="7" spans="1:2" ht="24.95" customHeight="1">
      <c r="A7" s="12" t="s">
        <v>99</v>
      </c>
      <c r="B7" s="13" t="s">
        <v>100</v>
      </c>
    </row>
    <row r="8" spans="1:2" ht="24.95" customHeight="1">
      <c r="A8" s="12" t="s">
        <v>101</v>
      </c>
      <c r="B8" s="13" t="s">
        <v>102</v>
      </c>
    </row>
    <row r="9" spans="1:2" ht="24.95" customHeight="1">
      <c r="A9" s="12" t="s">
        <v>309</v>
      </c>
      <c r="B9" s="13" t="s">
        <v>307</v>
      </c>
    </row>
    <row r="10" spans="1:2" ht="24.95" customHeight="1">
      <c r="A10" s="12" t="s">
        <v>84</v>
      </c>
      <c r="B10" s="15" t="s">
        <v>198</v>
      </c>
    </row>
    <row r="11" spans="1:2" ht="24.95" customHeight="1">
      <c r="A11" s="12" t="s">
        <v>299</v>
      </c>
      <c r="B11" s="13" t="s">
        <v>302</v>
      </c>
    </row>
    <row r="12" spans="1:2" ht="24.95" customHeight="1">
      <c r="A12" s="12" t="s">
        <v>103</v>
      </c>
      <c r="B12" s="13" t="s">
        <v>104</v>
      </c>
    </row>
    <row r="13" spans="1:2" ht="24.95" customHeight="1">
      <c r="A13" s="12" t="s">
        <v>105</v>
      </c>
      <c r="B13" s="13" t="s">
        <v>106</v>
      </c>
    </row>
    <row r="14" spans="1:2" ht="24.95" customHeight="1">
      <c r="A14" s="12" t="s">
        <v>107</v>
      </c>
      <c r="B14" s="13" t="s">
        <v>108</v>
      </c>
    </row>
    <row r="15" spans="1:2" ht="24.95" customHeight="1">
      <c r="A15" s="12" t="s">
        <v>201</v>
      </c>
      <c r="B15" s="13" t="s">
        <v>202</v>
      </c>
    </row>
    <row r="16" spans="1:2" ht="24.95" customHeight="1">
      <c r="A16" s="12" t="s">
        <v>300</v>
      </c>
      <c r="B16" s="13" t="s">
        <v>301</v>
      </c>
    </row>
    <row r="17" spans="1:2" ht="24.95" customHeight="1">
      <c r="A17" s="12" t="s">
        <v>6</v>
      </c>
      <c r="B17" s="13" t="s">
        <v>109</v>
      </c>
    </row>
    <row r="18" spans="1:2" ht="24.95" customHeight="1">
      <c r="A18" s="12" t="s">
        <v>110</v>
      </c>
      <c r="B18" s="13" t="s">
        <v>199</v>
      </c>
    </row>
    <row r="19" spans="1:2" ht="24.95" customHeight="1">
      <c r="A19" s="12" t="s">
        <v>111</v>
      </c>
      <c r="B19" s="16" t="s">
        <v>112</v>
      </c>
    </row>
    <row r="20" spans="1:2" ht="24.95" customHeight="1">
      <c r="A20" s="10" t="s">
        <v>113</v>
      </c>
      <c r="B20" s="16" t="s">
        <v>114</v>
      </c>
    </row>
    <row r="21" spans="1:2" ht="39.950000000000003" customHeight="1">
      <c r="A21" s="12" t="s">
        <v>115</v>
      </c>
      <c r="B21" s="16" t="s">
        <v>116</v>
      </c>
    </row>
    <row r="22" spans="1:2" ht="24.95" customHeight="1">
      <c r="A22" s="12" t="s">
        <v>31</v>
      </c>
      <c r="B22" s="17" t="s">
        <v>117</v>
      </c>
    </row>
    <row r="23" spans="1:2" ht="24.95" customHeight="1">
      <c r="A23" s="12" t="s">
        <v>118</v>
      </c>
      <c r="B23" s="16" t="s">
        <v>119</v>
      </c>
    </row>
    <row r="24" spans="1:2" ht="24.95" customHeight="1">
      <c r="A24" s="12" t="s">
        <v>120</v>
      </c>
      <c r="B24" s="13" t="s">
        <v>121</v>
      </c>
    </row>
    <row r="25" spans="1:2" ht="24.95" customHeight="1">
      <c r="A25" s="12" t="s">
        <v>148</v>
      </c>
      <c r="B25" s="13" t="s">
        <v>149</v>
      </c>
    </row>
    <row r="26" spans="1:2" ht="24.95" customHeight="1">
      <c r="A26" s="12" t="s">
        <v>122</v>
      </c>
      <c r="B26" s="13" t="s">
        <v>123</v>
      </c>
    </row>
    <row r="27" spans="1:2" ht="39.950000000000003" customHeight="1">
      <c r="A27" s="12" t="s">
        <v>303</v>
      </c>
      <c r="B27" s="13" t="s">
        <v>305</v>
      </c>
    </row>
    <row r="28" spans="1:2" ht="24.95" customHeight="1">
      <c r="A28" s="12" t="s">
        <v>124</v>
      </c>
      <c r="B28" s="13" t="s">
        <v>125</v>
      </c>
    </row>
    <row r="29" spans="1:2" ht="24.95" customHeight="1">
      <c r="A29" s="12" t="s">
        <v>126</v>
      </c>
      <c r="B29" s="13" t="s">
        <v>127</v>
      </c>
    </row>
    <row r="30" spans="1:2" ht="24.95" customHeight="1">
      <c r="A30" s="12" t="s">
        <v>128</v>
      </c>
      <c r="B30" s="13" t="s">
        <v>129</v>
      </c>
    </row>
    <row r="31" spans="1:2" ht="39.950000000000003" customHeight="1">
      <c r="A31" s="12" t="s">
        <v>130</v>
      </c>
      <c r="B31" s="16" t="s">
        <v>146</v>
      </c>
    </row>
    <row r="32" spans="1:2" ht="24.95" customHeight="1">
      <c r="A32" s="12" t="s">
        <v>131</v>
      </c>
      <c r="B32" s="13" t="s">
        <v>132</v>
      </c>
    </row>
    <row r="33" spans="1:2" ht="24.95" customHeight="1">
      <c r="A33" s="12" t="s">
        <v>133</v>
      </c>
      <c r="B33" s="13" t="s">
        <v>134</v>
      </c>
    </row>
    <row r="34" spans="1:2" ht="24.95" customHeight="1">
      <c r="A34" s="12" t="s">
        <v>135</v>
      </c>
      <c r="B34" s="16" t="s">
        <v>136</v>
      </c>
    </row>
    <row r="35" spans="1:2" ht="24.95" customHeight="1">
      <c r="A35" s="12" t="s">
        <v>5</v>
      </c>
      <c r="B35" s="13" t="s">
        <v>137</v>
      </c>
    </row>
    <row r="36" spans="1:2" ht="24.95" customHeight="1">
      <c r="A36" s="12" t="s">
        <v>313</v>
      </c>
      <c r="B36" s="13" t="s">
        <v>314</v>
      </c>
    </row>
    <row r="37" spans="1:2" ht="24.95" customHeight="1">
      <c r="A37" s="12" t="s">
        <v>4</v>
      </c>
      <c r="B37" s="13" t="s">
        <v>138</v>
      </c>
    </row>
    <row r="38" spans="1:2" ht="24.95" customHeight="1">
      <c r="A38" s="12" t="s">
        <v>139</v>
      </c>
      <c r="B38" s="13" t="s">
        <v>140</v>
      </c>
    </row>
    <row r="39" spans="1:2" ht="24.95" customHeight="1">
      <c r="A39" s="12" t="s">
        <v>30</v>
      </c>
      <c r="B39" s="13" t="s">
        <v>141</v>
      </c>
    </row>
    <row r="40" spans="1:2" ht="24.95" customHeight="1">
      <c r="A40" s="12" t="s">
        <v>142</v>
      </c>
      <c r="B40" s="16" t="s">
        <v>143</v>
      </c>
    </row>
    <row r="41" spans="1:2" ht="24.95" customHeight="1">
      <c r="A41" s="12" t="s">
        <v>144</v>
      </c>
      <c r="B41" s="13" t="s">
        <v>145</v>
      </c>
    </row>
    <row r="42" spans="1:2" ht="24.95" customHeight="1">
      <c r="A42" s="20"/>
      <c r="B42" s="13"/>
    </row>
  </sheetData>
  <sortState xmlns:xlrd2="http://schemas.microsoft.com/office/spreadsheetml/2017/richdata2" ref="A4:B41">
    <sortCondition ref="A41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FA9F4-9809-412C-812A-5ED8778E106C}">
  <sheetPr codeName="List5"/>
  <dimension ref="A1:J61"/>
  <sheetViews>
    <sheetView showGridLines="0" view="pageBreakPreview" topLeftCell="A14" zoomScaleNormal="100" zoomScaleSheetLayoutView="100" workbookViewId="0">
      <selection activeCell="C1" sqref="C1"/>
    </sheetView>
  </sheetViews>
  <sheetFormatPr defaultColWidth="9.140625" defaultRowHeight="14.25"/>
  <cols>
    <col min="1" max="1" width="14.7109375" style="22" customWidth="1"/>
    <col min="2" max="3" width="10.7109375" style="22" customWidth="1"/>
    <col min="4" max="4" width="31.5703125" style="22" customWidth="1"/>
    <col min="5" max="5" width="8" style="22" customWidth="1"/>
    <col min="6" max="6" width="7.28515625" style="22" customWidth="1"/>
    <col min="7" max="7" width="1.7109375" style="22" customWidth="1"/>
    <col min="8" max="8" width="9" style="22" customWidth="1"/>
    <col min="9" max="9" width="5.7109375" style="22" customWidth="1"/>
    <col min="10" max="10" width="9.140625" style="22" customWidth="1"/>
    <col min="11" max="16384" width="9.140625" style="22"/>
  </cols>
  <sheetData>
    <row r="1" spans="1:10" ht="20.25">
      <c r="A1" s="38" t="str">
        <f>"2 STRUČNÝ PŘEHLED ZA "&amp;UPPER('3.1'!G5)&amp;" "&amp;'3.1'!A4</f>
        <v>2 STRUČNÝ PŘEHLED ZA I. ČTVRTLETÍ 2026</v>
      </c>
      <c r="C1" s="23"/>
      <c r="D1" s="23"/>
    </row>
    <row r="2" spans="1:10" ht="6" customHeight="1">
      <c r="A2" s="24"/>
      <c r="B2" s="24"/>
      <c r="C2" s="24"/>
      <c r="D2" s="24"/>
    </row>
    <row r="3" spans="1:10" ht="15" customHeight="1">
      <c r="A3" s="397" t="s">
        <v>203</v>
      </c>
      <c r="B3" s="397"/>
      <c r="C3" s="397"/>
      <c r="D3" s="397"/>
      <c r="E3" s="397"/>
      <c r="F3" s="397"/>
      <c r="G3" s="397"/>
      <c r="H3" s="397"/>
      <c r="I3" s="397"/>
    </row>
    <row r="4" spans="1:10" ht="15" customHeight="1">
      <c r="A4" s="397"/>
      <c r="B4" s="397"/>
      <c r="C4" s="397"/>
      <c r="D4" s="397"/>
      <c r="E4" s="397"/>
      <c r="F4" s="397"/>
      <c r="G4" s="397"/>
      <c r="H4" s="397"/>
      <c r="I4" s="397"/>
    </row>
    <row r="5" spans="1:10" ht="15" customHeight="1">
      <c r="A5" s="397"/>
      <c r="B5" s="397"/>
      <c r="C5" s="397"/>
      <c r="D5" s="397"/>
      <c r="E5" s="397"/>
      <c r="F5" s="397"/>
      <c r="G5" s="397"/>
      <c r="H5" s="397"/>
      <c r="I5" s="397"/>
    </row>
    <row r="6" spans="1:10" ht="15" customHeight="1">
      <c r="A6" s="397"/>
      <c r="B6" s="397"/>
      <c r="C6" s="397"/>
      <c r="D6" s="397"/>
      <c r="E6" s="397"/>
      <c r="F6" s="397"/>
      <c r="G6" s="397"/>
      <c r="H6" s="397"/>
      <c r="I6" s="397"/>
    </row>
    <row r="7" spans="1:10" ht="30" customHeight="1">
      <c r="A7" s="396" t="s">
        <v>237</v>
      </c>
      <c r="B7" s="396"/>
      <c r="C7" s="396"/>
      <c r="D7" s="396"/>
      <c r="E7" s="396"/>
      <c r="F7" s="396"/>
      <c r="G7" s="396"/>
      <c r="H7" s="396"/>
      <c r="I7" s="396"/>
      <c r="J7" s="25"/>
    </row>
    <row r="8" spans="1:10" ht="9.9499999999999993" customHeight="1">
      <c r="A8" s="25"/>
      <c r="B8" s="25"/>
      <c r="C8" s="26"/>
      <c r="D8" s="26"/>
    </row>
    <row r="9" spans="1:10" ht="15.95" customHeight="1">
      <c r="A9" s="395" t="s">
        <v>204</v>
      </c>
      <c r="B9" s="395"/>
      <c r="C9" s="395"/>
      <c r="D9" s="395"/>
      <c r="E9" s="27">
        <f>'3.1'!G8/1000</f>
        <v>1490.143217276956</v>
      </c>
      <c r="F9" s="19" t="s">
        <v>244</v>
      </c>
      <c r="G9" s="19" t="s">
        <v>205</v>
      </c>
      <c r="H9" s="27">
        <f>'3.1'!K8/1000</f>
        <v>16370.632969448001</v>
      </c>
      <c r="I9" s="19" t="s">
        <v>206</v>
      </c>
    </row>
    <row r="10" spans="1:10" ht="15.95" customHeight="1">
      <c r="A10" s="395" t="s">
        <v>207</v>
      </c>
      <c r="B10" s="395"/>
      <c r="C10" s="395"/>
      <c r="D10" s="395"/>
      <c r="E10" s="27">
        <f>'3.1'!G11/1000</f>
        <v>448.84921982283305</v>
      </c>
      <c r="F10" s="19" t="s">
        <v>244</v>
      </c>
      <c r="G10" s="19" t="s">
        <v>205</v>
      </c>
      <c r="H10" s="27">
        <f>'3.1'!K11/1000</f>
        <v>4914.4061929973996</v>
      </c>
      <c r="I10" s="19" t="s">
        <v>206</v>
      </c>
    </row>
    <row r="11" spans="1:10" ht="9.9499999999999993" customHeight="1">
      <c r="A11" s="28"/>
      <c r="B11" s="28"/>
      <c r="C11" s="29"/>
      <c r="D11" s="29"/>
      <c r="E11" s="30"/>
    </row>
    <row r="12" spans="1:10" ht="15.95" customHeight="1">
      <c r="A12" s="395" t="s">
        <v>208</v>
      </c>
      <c r="B12" s="395"/>
      <c r="C12" s="395"/>
      <c r="D12" s="395"/>
      <c r="E12" s="27">
        <f>'3.1'!G19/1000</f>
        <v>1833.8109020000002</v>
      </c>
      <c r="F12" s="19" t="s">
        <v>244</v>
      </c>
      <c r="G12" s="19" t="s">
        <v>205</v>
      </c>
      <c r="H12" s="27">
        <f>'3.1'!K19/1000</f>
        <v>20005.652553</v>
      </c>
      <c r="I12" s="19" t="s">
        <v>206</v>
      </c>
    </row>
    <row r="13" spans="1:10" ht="15.95" customHeight="1">
      <c r="A13" s="395" t="s">
        <v>209</v>
      </c>
      <c r="B13" s="395"/>
      <c r="C13" s="395"/>
      <c r="D13" s="395"/>
      <c r="E13" s="27">
        <f>'3.1'!G24/1000</f>
        <v>36.476180999999997</v>
      </c>
      <c r="F13" s="19" t="s">
        <v>244</v>
      </c>
      <c r="G13" s="19" t="s">
        <v>205</v>
      </c>
      <c r="H13" s="27">
        <f>'3.1'!K24/1000</f>
        <v>399.76709087399996</v>
      </c>
      <c r="I13" s="19" t="s">
        <v>206</v>
      </c>
    </row>
    <row r="14" spans="1:10" ht="15.95" customHeight="1">
      <c r="A14" s="395" t="s">
        <v>210</v>
      </c>
      <c r="B14" s="395"/>
      <c r="C14" s="395"/>
      <c r="D14" s="395"/>
      <c r="E14" s="27">
        <f>'3.1'!G30/1000</f>
        <v>460.76927766113403</v>
      </c>
      <c r="F14" s="19" t="s">
        <v>244</v>
      </c>
      <c r="G14" s="19" t="s">
        <v>205</v>
      </c>
      <c r="H14" s="27">
        <f>'3.1'!K30/1000</f>
        <v>5292.8410841063451</v>
      </c>
      <c r="I14" s="19" t="s">
        <v>206</v>
      </c>
    </row>
    <row r="15" spans="1:10" ht="9.9499999999999993" customHeight="1">
      <c r="A15" s="28"/>
      <c r="B15" s="28"/>
      <c r="C15" s="29"/>
      <c r="D15" s="29"/>
      <c r="E15" s="30"/>
    </row>
    <row r="16" spans="1:10" ht="15.95" customHeight="1">
      <c r="A16" s="395" t="s">
        <v>211</v>
      </c>
      <c r="B16" s="395"/>
      <c r="C16" s="395"/>
      <c r="D16" s="395"/>
      <c r="E16" s="27">
        <f>'3.1'!G39/1000</f>
        <v>28.087923000000004</v>
      </c>
      <c r="F16" s="19" t="s">
        <v>244</v>
      </c>
      <c r="G16" s="19" t="s">
        <v>205</v>
      </c>
      <c r="H16" s="27">
        <f>'3.1'!K39/1000</f>
        <v>303.68624400000004</v>
      </c>
      <c r="I16" s="19" t="s">
        <v>206</v>
      </c>
    </row>
    <row r="17" spans="1:9" ht="30" customHeight="1">
      <c r="A17" s="396" t="s">
        <v>238</v>
      </c>
      <c r="B17" s="396"/>
      <c r="C17" s="396"/>
      <c r="D17" s="396"/>
      <c r="E17" s="396"/>
      <c r="F17" s="396"/>
      <c r="G17" s="396"/>
      <c r="H17" s="396"/>
      <c r="I17" s="396"/>
    </row>
    <row r="18" spans="1:9" ht="9.9499999999999993" customHeight="1">
      <c r="A18" s="25"/>
      <c r="B18" s="25"/>
      <c r="C18" s="26"/>
      <c r="D18" s="26"/>
    </row>
    <row r="19" spans="1:9" ht="15.95" customHeight="1">
      <c r="A19" s="395" t="s">
        <v>212</v>
      </c>
      <c r="B19" s="395"/>
      <c r="C19" s="395"/>
      <c r="D19" s="395"/>
      <c r="E19" s="27">
        <f>'4.1'!B19</f>
        <v>2878.253196009613</v>
      </c>
      <c r="F19" s="19" t="s">
        <v>244</v>
      </c>
      <c r="G19" s="19" t="s">
        <v>205</v>
      </c>
      <c r="H19" s="27">
        <f>'4.1'!I19</f>
        <v>31501.134049409902</v>
      </c>
      <c r="I19" s="19" t="s">
        <v>206</v>
      </c>
    </row>
    <row r="20" spans="1:9" ht="15.95" customHeight="1">
      <c r="A20" s="395" t="s">
        <v>213</v>
      </c>
      <c r="B20" s="395"/>
      <c r="C20" s="395"/>
      <c r="D20" s="395"/>
      <c r="E20" s="31">
        <f>'4.1'!D19*100</f>
        <v>4.3958785452658748</v>
      </c>
      <c r="F20" s="19" t="s">
        <v>214</v>
      </c>
      <c r="G20" s="19"/>
      <c r="H20" s="27"/>
      <c r="I20" s="19"/>
    </row>
    <row r="21" spans="1:9" ht="9.9499999999999993" customHeight="1">
      <c r="A21" s="32"/>
      <c r="B21" s="32"/>
      <c r="C21" s="32"/>
      <c r="D21" s="32"/>
      <c r="E21" s="31"/>
      <c r="F21" s="19"/>
      <c r="G21" s="19"/>
      <c r="H21" s="27"/>
      <c r="I21" s="19"/>
    </row>
    <row r="22" spans="1:9" ht="15.95" customHeight="1">
      <c r="A22" s="395" t="s">
        <v>215</v>
      </c>
      <c r="B22" s="395"/>
      <c r="C22" s="395"/>
      <c r="D22" s="395"/>
      <c r="E22" s="27">
        <f>'4.1'!E19</f>
        <v>2915.9900482027228</v>
      </c>
      <c r="F22" s="19" t="s">
        <v>244</v>
      </c>
      <c r="G22" s="19" t="s">
        <v>205</v>
      </c>
      <c r="H22" s="27">
        <f>'4.1'!K19</f>
        <v>31914.68041121044</v>
      </c>
      <c r="I22" s="19" t="s">
        <v>206</v>
      </c>
    </row>
    <row r="23" spans="1:9" ht="15.95" customHeight="1">
      <c r="A23" s="395" t="s">
        <v>216</v>
      </c>
      <c r="B23" s="395"/>
      <c r="C23" s="395"/>
      <c r="D23" s="395"/>
      <c r="E23" s="31">
        <f>'4.1'!G19*100</f>
        <v>2.2736830880451397</v>
      </c>
      <c r="F23" s="19" t="s">
        <v>214</v>
      </c>
    </row>
    <row r="24" spans="1:9" ht="9.9499999999999993" customHeight="1">
      <c r="A24" s="32"/>
      <c r="B24" s="32"/>
      <c r="C24" s="32"/>
      <c r="D24" s="32"/>
      <c r="E24" s="31"/>
      <c r="F24" s="19"/>
      <c r="G24" s="19"/>
      <c r="H24" s="27"/>
      <c r="I24" s="19"/>
    </row>
    <row r="25" spans="1:9" ht="15.95" customHeight="1">
      <c r="A25" s="395" t="s">
        <v>217</v>
      </c>
      <c r="B25" s="395"/>
      <c r="C25" s="395"/>
      <c r="D25" s="395"/>
      <c r="E25" s="31">
        <f>'4.1'!N19</f>
        <v>1.3557219662058373</v>
      </c>
      <c r="F25" s="19" t="s">
        <v>218</v>
      </c>
      <c r="G25" s="19"/>
      <c r="H25" s="27"/>
      <c r="I25" s="19"/>
    </row>
    <row r="26" spans="1:9" ht="15.95" customHeight="1">
      <c r="A26" s="395" t="s">
        <v>219</v>
      </c>
      <c r="B26" s="395"/>
      <c r="C26" s="395"/>
      <c r="D26" s="395"/>
      <c r="E26" s="31">
        <f>'4.1'!Q19</f>
        <v>0.86062291434927696</v>
      </c>
      <c r="F26" s="19" t="s">
        <v>218</v>
      </c>
      <c r="G26" s="19"/>
      <c r="H26" s="27"/>
      <c r="I26" s="19"/>
    </row>
    <row r="27" spans="1:9" ht="15.95" customHeight="1">
      <c r="A27" s="395" t="s">
        <v>220</v>
      </c>
      <c r="B27" s="395"/>
      <c r="C27" s="395"/>
      <c r="D27" s="395"/>
      <c r="E27" s="31">
        <f>'4.1'!R19</f>
        <v>0.49509905185656033</v>
      </c>
      <c r="F27" s="19" t="s">
        <v>218</v>
      </c>
      <c r="G27" s="19"/>
      <c r="H27" s="27"/>
      <c r="I27" s="19"/>
    </row>
    <row r="28" spans="1:9" ht="9.9499999999999993" customHeight="1">
      <c r="A28" s="32"/>
      <c r="B28" s="32"/>
      <c r="C28" s="32"/>
      <c r="D28" s="32"/>
      <c r="E28" s="27"/>
      <c r="F28" s="19"/>
      <c r="G28" s="19"/>
      <c r="H28" s="27"/>
      <c r="I28" s="19"/>
    </row>
    <row r="29" spans="1:9" ht="15.95" customHeight="1">
      <c r="A29" s="395" t="s">
        <v>221</v>
      </c>
      <c r="B29" s="395"/>
      <c r="C29" s="395"/>
      <c r="D29" s="395"/>
      <c r="E29" s="33">
        <f>MAX('4.3'!B38,'4.3'!E38,'4.3'!H38)/1000</f>
        <v>48.592411619481247</v>
      </c>
      <c r="F29" s="19" t="s">
        <v>244</v>
      </c>
      <c r="G29" s="19" t="s">
        <v>205</v>
      </c>
      <c r="H29" s="33">
        <f>MAX('4.3'!C38,'4.3'!F38,'4.3'!I38)/1000</f>
        <v>532.07274660564724</v>
      </c>
      <c r="I29" s="19" t="s">
        <v>206</v>
      </c>
    </row>
    <row r="30" spans="1:9" ht="15.95" customHeight="1">
      <c r="A30" s="395" t="s">
        <v>222</v>
      </c>
      <c r="B30" s="395"/>
      <c r="C30" s="395"/>
      <c r="D30" s="395"/>
      <c r="E30" s="33">
        <f>MIN('4.3'!B39,'4.3'!E39,'4.3'!H39)/1000</f>
        <v>17.757780211402817</v>
      </c>
      <c r="F30" s="19" t="s">
        <v>244</v>
      </c>
      <c r="G30" s="19" t="s">
        <v>205</v>
      </c>
      <c r="H30" s="33">
        <f>MIN('4.3'!C39,'4.3'!F39,'4.3'!I39)/1000</f>
        <v>194.94153070854983</v>
      </c>
      <c r="I30" s="19" t="s">
        <v>206</v>
      </c>
    </row>
    <row r="31" spans="1:9" ht="30" customHeight="1">
      <c r="A31" s="400" t="s">
        <v>239</v>
      </c>
      <c r="B31" s="400"/>
      <c r="C31" s="400"/>
      <c r="D31" s="400"/>
      <c r="E31" s="400"/>
      <c r="F31" s="400"/>
      <c r="G31" s="400"/>
      <c r="H31" s="400"/>
      <c r="I31" s="400"/>
    </row>
    <row r="32" spans="1:9" ht="9.9499999999999993" customHeight="1"/>
    <row r="33" spans="1:9" ht="15.95" customHeight="1">
      <c r="A33" s="395" t="s">
        <v>304</v>
      </c>
      <c r="B33" s="395"/>
      <c r="C33" s="395"/>
      <c r="D33" s="395"/>
      <c r="E33" s="33">
        <f>'5.9'!E7*100</f>
        <v>11.290047423223557</v>
      </c>
      <c r="F33" s="19" t="s">
        <v>214</v>
      </c>
      <c r="H33" s="33">
        <f>'5.9'!F7*100</f>
        <v>3.3617754627690739</v>
      </c>
      <c r="I33" s="19" t="s">
        <v>214</v>
      </c>
    </row>
    <row r="34" spans="1:9" ht="15.95" customHeight="1">
      <c r="A34" s="395" t="s">
        <v>223</v>
      </c>
      <c r="B34" s="395"/>
      <c r="C34" s="395"/>
      <c r="D34" s="395"/>
      <c r="E34" s="33">
        <f>'5.9'!E8*100</f>
        <v>78.466553225643892</v>
      </c>
      <c r="F34" s="19" t="s">
        <v>214</v>
      </c>
      <c r="H34" s="33">
        <f>'5.9'!F8*100</f>
        <v>2.0308229984042963</v>
      </c>
      <c r="I34" s="19" t="s">
        <v>214</v>
      </c>
    </row>
    <row r="35" spans="1:9" ht="15.95" customHeight="1">
      <c r="A35" s="395" t="s">
        <v>312</v>
      </c>
      <c r="B35" s="395"/>
      <c r="C35" s="395"/>
      <c r="D35" s="395"/>
      <c r="E35" s="33">
        <f>'5.9'!E9*100</f>
        <v>3.8964085632730905</v>
      </c>
      <c r="F35" s="19" t="s">
        <v>214</v>
      </c>
      <c r="H35" s="33">
        <f>'5.9'!F9*100</f>
        <v>2.9636387822478989</v>
      </c>
      <c r="I35" s="19" t="s">
        <v>214</v>
      </c>
    </row>
    <row r="36" spans="1:9" ht="15.95" customHeight="1">
      <c r="A36" s="395" t="s">
        <v>224</v>
      </c>
      <c r="B36" s="395"/>
      <c r="C36" s="395"/>
      <c r="D36" s="395"/>
      <c r="E36" s="33">
        <f>'5.9'!E10*100</f>
        <v>6.346990787859438</v>
      </c>
      <c r="F36" s="19" t="s">
        <v>214</v>
      </c>
      <c r="H36" s="33">
        <f>'5.9'!F10*100</f>
        <v>51.937641701334577</v>
      </c>
      <c r="I36" s="19" t="s">
        <v>214</v>
      </c>
    </row>
    <row r="37" spans="1:9" ht="15" customHeight="1">
      <c r="A37" s="32"/>
      <c r="B37" s="32"/>
      <c r="C37" s="32"/>
      <c r="D37" s="32"/>
      <c r="E37" s="33"/>
      <c r="F37" s="19"/>
      <c r="H37" s="33"/>
      <c r="I37" s="19"/>
    </row>
    <row r="38" spans="1:9" ht="15.95" customHeight="1">
      <c r="A38" s="395" t="s">
        <v>225</v>
      </c>
      <c r="B38" s="395"/>
      <c r="C38" s="395"/>
      <c r="D38" s="395"/>
      <c r="E38" s="399">
        <f>'5.1'!D35</f>
        <v>2695223</v>
      </c>
      <c r="F38" s="399"/>
      <c r="H38" s="33"/>
      <c r="I38" s="19"/>
    </row>
    <row r="39" spans="1:9" ht="30" customHeight="1">
      <c r="A39" s="401"/>
      <c r="B39" s="401"/>
      <c r="C39" s="401"/>
      <c r="D39" s="401"/>
      <c r="E39" s="401"/>
      <c r="F39" s="401"/>
      <c r="G39" s="401"/>
      <c r="H39" s="401"/>
      <c r="I39" s="401"/>
    </row>
    <row r="40" spans="1:9" ht="15.95" customHeight="1">
      <c r="A40" s="25"/>
      <c r="B40" s="25"/>
    </row>
    <row r="41" spans="1:9" ht="15.95" customHeight="1">
      <c r="A41" s="398"/>
      <c r="B41" s="398"/>
      <c r="C41" s="398"/>
      <c r="D41" s="398"/>
      <c r="E41" s="398"/>
      <c r="F41" s="398"/>
      <c r="G41" s="398"/>
      <c r="H41" s="398"/>
      <c r="I41" s="398"/>
    </row>
    <row r="42" spans="1:9" ht="15.95" customHeight="1">
      <c r="A42" s="398"/>
      <c r="B42" s="398"/>
      <c r="C42" s="398"/>
      <c r="D42" s="398"/>
      <c r="E42" s="398"/>
      <c r="F42" s="398"/>
      <c r="G42" s="398"/>
      <c r="H42" s="398"/>
      <c r="I42" s="398"/>
    </row>
    <row r="43" spans="1:9" ht="15.95" customHeight="1">
      <c r="A43" s="398"/>
      <c r="B43" s="398"/>
      <c r="C43" s="398"/>
      <c r="D43" s="398"/>
      <c r="E43" s="398"/>
      <c r="F43" s="398"/>
      <c r="G43" s="398"/>
      <c r="H43" s="398"/>
      <c r="I43" s="398"/>
    </row>
    <row r="44" spans="1:9" ht="15.95" customHeight="1">
      <c r="A44" s="398"/>
      <c r="B44" s="398"/>
      <c r="C44" s="398"/>
      <c r="D44" s="398"/>
      <c r="E44" s="398"/>
      <c r="F44" s="398"/>
      <c r="G44" s="398"/>
      <c r="H44" s="398"/>
      <c r="I44" s="398"/>
    </row>
    <row r="45" spans="1:9" ht="15.95" customHeight="1">
      <c r="A45" s="398"/>
      <c r="B45" s="398"/>
      <c r="C45" s="398"/>
      <c r="D45" s="398"/>
      <c r="E45" s="398"/>
      <c r="F45" s="398"/>
      <c r="G45" s="398"/>
      <c r="H45" s="398"/>
      <c r="I45" s="398"/>
    </row>
    <row r="46" spans="1:9" ht="15.95" customHeight="1">
      <c r="A46" s="398"/>
      <c r="B46" s="398"/>
      <c r="C46" s="398"/>
      <c r="D46" s="398"/>
      <c r="E46" s="398"/>
      <c r="F46" s="398"/>
      <c r="G46" s="398"/>
      <c r="H46" s="398"/>
      <c r="I46" s="398"/>
    </row>
    <row r="47" spans="1:9" ht="15.95" customHeight="1">
      <c r="A47" s="398"/>
      <c r="B47" s="398"/>
      <c r="C47" s="398"/>
      <c r="D47" s="398"/>
      <c r="E47" s="398"/>
      <c r="F47" s="398"/>
      <c r="G47" s="398"/>
      <c r="H47" s="398"/>
      <c r="I47" s="398"/>
    </row>
    <row r="48" spans="1:9" ht="15" customHeight="1">
      <c r="A48" s="398"/>
      <c r="B48" s="398"/>
      <c r="C48" s="398"/>
      <c r="D48" s="398"/>
      <c r="E48" s="398"/>
      <c r="F48" s="398"/>
      <c r="G48" s="398"/>
      <c r="H48" s="398"/>
      <c r="I48" s="398"/>
    </row>
    <row r="49" spans="1:9" ht="15" customHeight="1">
      <c r="A49" s="398"/>
      <c r="B49" s="398"/>
      <c r="C49" s="398"/>
      <c r="D49" s="398"/>
      <c r="E49" s="398"/>
      <c r="F49" s="398"/>
      <c r="G49" s="398"/>
      <c r="H49" s="398"/>
      <c r="I49" s="398"/>
    </row>
    <row r="50" spans="1:9" ht="15" customHeight="1">
      <c r="A50" s="25"/>
      <c r="B50" s="25"/>
      <c r="C50" s="25"/>
      <c r="D50" s="25"/>
      <c r="E50" s="25"/>
      <c r="F50" s="25"/>
      <c r="G50" s="25"/>
      <c r="H50" s="25"/>
      <c r="I50" s="25"/>
    </row>
    <row r="51" spans="1:9" ht="15.95" customHeight="1">
      <c r="A51" s="25"/>
      <c r="B51" s="25"/>
      <c r="C51" s="25"/>
      <c r="D51" s="25"/>
      <c r="E51" s="25"/>
      <c r="F51" s="25"/>
      <c r="G51" s="25"/>
      <c r="H51" s="25"/>
      <c r="I51" s="25"/>
    </row>
    <row r="52" spans="1:9" ht="15.95" customHeight="1">
      <c r="A52" s="25"/>
      <c r="B52" s="25"/>
    </row>
    <row r="53" spans="1:9" ht="15.95" customHeight="1">
      <c r="A53" s="25"/>
      <c r="B53" s="25"/>
    </row>
    <row r="54" spans="1:9" ht="15.95" customHeight="1">
      <c r="A54" s="25"/>
      <c r="B54" s="25"/>
    </row>
    <row r="55" spans="1:9" ht="15" customHeight="1">
      <c r="A55" s="25"/>
      <c r="B55" s="25"/>
    </row>
    <row r="56" spans="1:9" ht="15" customHeight="1">
      <c r="A56" s="25"/>
      <c r="B56" s="25"/>
    </row>
    <row r="57" spans="1:9" ht="15" customHeight="1">
      <c r="A57" s="25"/>
      <c r="B57" s="25"/>
    </row>
    <row r="58" spans="1:9" ht="15" customHeight="1">
      <c r="A58" s="25"/>
      <c r="B58" s="25"/>
    </row>
    <row r="59" spans="1:9" ht="15" customHeight="1">
      <c r="A59" s="25"/>
      <c r="B59" s="25"/>
    </row>
    <row r="60" spans="1:9" ht="11.45" customHeight="1">
      <c r="A60" s="25"/>
      <c r="B60" s="25"/>
    </row>
    <row r="61" spans="1:9" ht="10.9" customHeight="1"/>
  </sheetData>
  <mergeCells count="27">
    <mergeCell ref="A41:I49"/>
    <mergeCell ref="E38:F38"/>
    <mergeCell ref="A31:I31"/>
    <mergeCell ref="A33:D33"/>
    <mergeCell ref="A34:D34"/>
    <mergeCell ref="A35:D35"/>
    <mergeCell ref="A36:D36"/>
    <mergeCell ref="A39:I39"/>
    <mergeCell ref="A25:D25"/>
    <mergeCell ref="A26:D26"/>
    <mergeCell ref="A27:D27"/>
    <mergeCell ref="A29:D29"/>
    <mergeCell ref="A38:D38"/>
    <mergeCell ref="A30:D30"/>
    <mergeCell ref="A13:D13"/>
    <mergeCell ref="A3:I6"/>
    <mergeCell ref="A7:I7"/>
    <mergeCell ref="A9:D9"/>
    <mergeCell ref="A10:D10"/>
    <mergeCell ref="A12:D12"/>
    <mergeCell ref="A22:D22"/>
    <mergeCell ref="A23:D23"/>
    <mergeCell ref="A14:D14"/>
    <mergeCell ref="A16:D16"/>
    <mergeCell ref="A17:I17"/>
    <mergeCell ref="A19:D19"/>
    <mergeCell ref="A20:D2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9"/>
  <sheetViews>
    <sheetView showGridLines="0" zoomScaleNormal="100" zoomScaleSheetLayoutView="100" workbookViewId="0">
      <selection activeCell="C1" sqref="C1"/>
    </sheetView>
  </sheetViews>
  <sheetFormatPr defaultColWidth="9.140625" defaultRowHeight="11.25"/>
  <cols>
    <col min="1" max="1" width="6.85546875" style="34" customWidth="1"/>
    <col min="2" max="2" width="8.42578125" style="34" customWidth="1"/>
    <col min="3" max="3" width="13.140625" style="34" customWidth="1"/>
    <col min="4" max="6" width="8.28515625" style="34" customWidth="1"/>
    <col min="7" max="7" width="9.7109375" style="34" customWidth="1"/>
    <col min="8" max="10" width="8.7109375" style="34" customWidth="1"/>
    <col min="11" max="11" width="9.7109375" style="34" customWidth="1"/>
    <col min="12" max="16384" width="9.140625" style="34"/>
  </cols>
  <sheetData>
    <row r="1" spans="1:18" ht="20.25">
      <c r="A1" s="47" t="s">
        <v>273</v>
      </c>
    </row>
    <row r="2" spans="1:18" ht="18">
      <c r="A2" s="403" t="s">
        <v>278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</row>
    <row r="3" spans="1:18" ht="6" customHeight="1">
      <c r="A3" s="209"/>
      <c r="B3" s="209"/>
      <c r="C3" s="209"/>
      <c r="D3" s="404"/>
      <c r="E3" s="405"/>
      <c r="F3" s="405"/>
      <c r="G3" s="405"/>
      <c r="H3" s="405"/>
      <c r="I3" s="405"/>
      <c r="J3" s="405"/>
      <c r="K3" s="405"/>
    </row>
    <row r="4" spans="1:18" ht="20.100000000000001" customHeight="1">
      <c r="A4" s="266">
        <v>2026</v>
      </c>
      <c r="B4" s="131"/>
      <c r="C4" s="179"/>
      <c r="D4" s="406" t="s">
        <v>247</v>
      </c>
      <c r="E4" s="407"/>
      <c r="F4" s="407"/>
      <c r="G4" s="408"/>
      <c r="H4" s="406" t="s">
        <v>248</v>
      </c>
      <c r="I4" s="407"/>
      <c r="J4" s="407"/>
      <c r="K4" s="407"/>
    </row>
    <row r="5" spans="1:18" ht="20.100000000000001" customHeight="1">
      <c r="A5" s="134"/>
      <c r="B5" s="134"/>
      <c r="C5" s="180"/>
      <c r="D5" s="181" t="s">
        <v>157</v>
      </c>
      <c r="E5" s="182" t="s">
        <v>158</v>
      </c>
      <c r="F5" s="182" t="s">
        <v>159</v>
      </c>
      <c r="G5" s="183" t="s">
        <v>47</v>
      </c>
      <c r="H5" s="181" t="str">
        <f>D5</f>
        <v>Leden</v>
      </c>
      <c r="I5" s="182" t="str">
        <f>E5</f>
        <v>Únor</v>
      </c>
      <c r="J5" s="182" t="str">
        <f>F5</f>
        <v>Březen</v>
      </c>
      <c r="K5" s="184" t="str">
        <f>G5</f>
        <v>I. čtvrtletí</v>
      </c>
    </row>
    <row r="6" spans="1:18" ht="15" customHeight="1">
      <c r="A6" s="413" t="s">
        <v>48</v>
      </c>
      <c r="B6" s="409" t="s">
        <v>20</v>
      </c>
      <c r="C6" s="135" t="s">
        <v>22</v>
      </c>
      <c r="D6" s="136">
        <v>436114.16099999996</v>
      </c>
      <c r="E6" s="137">
        <v>393955.16800000001</v>
      </c>
      <c r="F6" s="137">
        <v>659508.625</v>
      </c>
      <c r="G6" s="138">
        <f>SUM(D6:F6)</f>
        <v>1489577.9539999999</v>
      </c>
      <c r="H6" s="136">
        <v>4789802.6150000002</v>
      </c>
      <c r="I6" s="137">
        <v>4324779.2580000004</v>
      </c>
      <c r="J6" s="137">
        <v>7249848.9359999998</v>
      </c>
      <c r="K6" s="139">
        <f>SUM(H6:J6)</f>
        <v>16364430.809</v>
      </c>
      <c r="L6" s="36"/>
      <c r="M6" s="36"/>
      <c r="N6" s="36"/>
      <c r="O6" s="36"/>
      <c r="P6" s="36"/>
      <c r="Q6" s="36"/>
      <c r="R6" s="36"/>
    </row>
    <row r="7" spans="1:18" ht="15" customHeight="1">
      <c r="A7" s="413"/>
      <c r="B7" s="409"/>
      <c r="C7" s="135" t="s">
        <v>23</v>
      </c>
      <c r="D7" s="136">
        <v>237.071146774</v>
      </c>
      <c r="E7" s="137">
        <v>174.328999087</v>
      </c>
      <c r="F7" s="137">
        <v>153.863131095</v>
      </c>
      <c r="G7" s="138">
        <f>SUM(D7:F7)</f>
        <v>565.26327695600003</v>
      </c>
      <c r="H7" s="136">
        <v>2597.8442129999999</v>
      </c>
      <c r="I7" s="137">
        <v>1915.7077569999999</v>
      </c>
      <c r="J7" s="137">
        <v>1688.6084780000001</v>
      </c>
      <c r="K7" s="139">
        <f t="shared" ref="K7:K50" si="0">SUM(H7:J7)</f>
        <v>6202.1604479999996</v>
      </c>
      <c r="L7" s="36"/>
      <c r="M7" s="36"/>
      <c r="N7" s="36"/>
      <c r="O7" s="36"/>
      <c r="P7" s="36"/>
      <c r="Q7" s="36"/>
    </row>
    <row r="8" spans="1:18" ht="15" customHeight="1">
      <c r="A8" s="413"/>
      <c r="B8" s="410"/>
      <c r="C8" s="140" t="s">
        <v>24</v>
      </c>
      <c r="D8" s="141">
        <v>436351.23214677395</v>
      </c>
      <c r="E8" s="142">
        <v>394129.49699908699</v>
      </c>
      <c r="F8" s="142">
        <v>659662.48813109496</v>
      </c>
      <c r="G8" s="143">
        <f t="shared" ref="G8" si="1">SUM(D8:F8)</f>
        <v>1490143.217276956</v>
      </c>
      <c r="H8" s="141">
        <v>4792400.4592129998</v>
      </c>
      <c r="I8" s="142">
        <v>4326694.9657570003</v>
      </c>
      <c r="J8" s="142">
        <v>7251537.5444780001</v>
      </c>
      <c r="K8" s="144">
        <f t="shared" si="0"/>
        <v>16370632.969448</v>
      </c>
      <c r="L8" s="36"/>
      <c r="M8" s="36"/>
      <c r="N8" s="36"/>
      <c r="O8" s="36"/>
      <c r="P8" s="36"/>
      <c r="Q8" s="36"/>
    </row>
    <row r="9" spans="1:18" ht="15" customHeight="1">
      <c r="A9" s="413"/>
      <c r="B9" s="411" t="s">
        <v>21</v>
      </c>
      <c r="C9" s="145" t="s">
        <v>22</v>
      </c>
      <c r="D9" s="146">
        <v>203141.08</v>
      </c>
      <c r="E9" s="147">
        <v>170059.454</v>
      </c>
      <c r="F9" s="147">
        <v>75508.375</v>
      </c>
      <c r="G9" s="148">
        <f>SUM(D9:F9)</f>
        <v>448708.90899999999</v>
      </c>
      <c r="H9" s="146">
        <v>2224991.5120000001</v>
      </c>
      <c r="I9" s="147">
        <v>1858303.0269999998</v>
      </c>
      <c r="J9" s="147">
        <v>829576.68099999998</v>
      </c>
      <c r="K9" s="149">
        <f t="shared" si="0"/>
        <v>4912871.22</v>
      </c>
      <c r="L9" s="36"/>
      <c r="M9" s="36"/>
      <c r="N9" s="36"/>
      <c r="O9" s="36"/>
      <c r="P9" s="36"/>
      <c r="Q9" s="36"/>
    </row>
    <row r="10" spans="1:18" ht="15" customHeight="1">
      <c r="A10" s="413"/>
      <c r="B10" s="409"/>
      <c r="C10" s="135" t="s">
        <v>23</v>
      </c>
      <c r="D10" s="136">
        <v>58.243278185999998</v>
      </c>
      <c r="E10" s="137">
        <v>47.165433123</v>
      </c>
      <c r="F10" s="137">
        <v>34.902111523999999</v>
      </c>
      <c r="G10" s="138">
        <f>SUM(D10:F10)</f>
        <v>140.310822833</v>
      </c>
      <c r="H10" s="136">
        <v>637.50108650000004</v>
      </c>
      <c r="I10" s="137">
        <v>514.44635330000006</v>
      </c>
      <c r="J10" s="137">
        <v>383.02555760000001</v>
      </c>
      <c r="K10" s="139">
        <f t="shared" si="0"/>
        <v>1534.9729974000002</v>
      </c>
      <c r="L10" s="36"/>
      <c r="M10" s="36"/>
      <c r="N10" s="36"/>
      <c r="O10" s="36"/>
      <c r="P10" s="36"/>
      <c r="Q10" s="36"/>
    </row>
    <row r="11" spans="1:18" ht="15" customHeight="1">
      <c r="A11" s="413"/>
      <c r="B11" s="410"/>
      <c r="C11" s="140" t="s">
        <v>24</v>
      </c>
      <c r="D11" s="141">
        <v>203199.323278186</v>
      </c>
      <c r="E11" s="142">
        <v>170106.61943312301</v>
      </c>
      <c r="F11" s="142">
        <v>75543.277111524003</v>
      </c>
      <c r="G11" s="143">
        <f t="shared" ref="G11" si="2">SUM(D11:F11)</f>
        <v>448849.21982283302</v>
      </c>
      <c r="H11" s="141">
        <v>2225629.0130865001</v>
      </c>
      <c r="I11" s="142">
        <v>1858817.4733532998</v>
      </c>
      <c r="J11" s="142">
        <v>829959.70655759994</v>
      </c>
      <c r="K11" s="144">
        <f t="shared" si="0"/>
        <v>4914406.1929973997</v>
      </c>
      <c r="L11" s="36"/>
      <c r="M11" s="36"/>
      <c r="N11" s="36"/>
      <c r="O11" s="36"/>
      <c r="P11" s="36"/>
      <c r="Q11" s="36"/>
    </row>
    <row r="12" spans="1:18" ht="15" customHeight="1">
      <c r="A12" s="413"/>
      <c r="B12" s="412" t="s">
        <v>50</v>
      </c>
      <c r="C12" s="135" t="s">
        <v>22</v>
      </c>
      <c r="D12" s="136">
        <v>232973.08099999998</v>
      </c>
      <c r="E12" s="137">
        <v>223895.71400000001</v>
      </c>
      <c r="F12" s="137">
        <v>584000.25</v>
      </c>
      <c r="G12" s="138">
        <f>SUM(D12:F12)</f>
        <v>1040869.0449999999</v>
      </c>
      <c r="H12" s="136">
        <v>2564811.1030000001</v>
      </c>
      <c r="I12" s="137">
        <v>2466476.2310000006</v>
      </c>
      <c r="J12" s="137">
        <v>6420272.2549999999</v>
      </c>
      <c r="K12" s="139">
        <f t="shared" si="0"/>
        <v>11451559.589000002</v>
      </c>
      <c r="L12" s="36"/>
      <c r="M12" s="36"/>
      <c r="N12" s="36"/>
      <c r="O12" s="36"/>
      <c r="P12" s="36"/>
      <c r="Q12" s="36"/>
    </row>
    <row r="13" spans="1:18" ht="15" customHeight="1">
      <c r="A13" s="413"/>
      <c r="B13" s="409"/>
      <c r="C13" s="135" t="s">
        <v>23</v>
      </c>
      <c r="D13" s="136">
        <v>178.827868588</v>
      </c>
      <c r="E13" s="137">
        <v>127.163565964</v>
      </c>
      <c r="F13" s="137">
        <v>118.96101957100001</v>
      </c>
      <c r="G13" s="138">
        <f>SUM(D13:F13)</f>
        <v>424.952454123</v>
      </c>
      <c r="H13" s="136">
        <v>1960.3431264999999</v>
      </c>
      <c r="I13" s="137">
        <v>1401.2614036999998</v>
      </c>
      <c r="J13" s="137">
        <v>1305.5829204000001</v>
      </c>
      <c r="K13" s="139">
        <f t="shared" si="0"/>
        <v>4667.1874506000004</v>
      </c>
      <c r="L13" s="36"/>
      <c r="M13" s="36"/>
      <c r="N13" s="36"/>
      <c r="O13" s="36"/>
      <c r="P13" s="36"/>
      <c r="Q13" s="36"/>
    </row>
    <row r="14" spans="1:18" ht="15" customHeight="1">
      <c r="A14" s="414"/>
      <c r="B14" s="410"/>
      <c r="C14" s="140" t="s">
        <v>24</v>
      </c>
      <c r="D14" s="141">
        <v>233151.90886858798</v>
      </c>
      <c r="E14" s="142">
        <v>224022.87756596401</v>
      </c>
      <c r="F14" s="142">
        <v>584119.21101957106</v>
      </c>
      <c r="G14" s="143">
        <f t="shared" ref="G14:G54" si="3">SUM(D14:F14)</f>
        <v>1041293.9974541231</v>
      </c>
      <c r="H14" s="141">
        <v>2566771.4461265001</v>
      </c>
      <c r="I14" s="142">
        <v>2467877.4924037005</v>
      </c>
      <c r="J14" s="142">
        <v>6421577.8379204003</v>
      </c>
      <c r="K14" s="144">
        <f t="shared" si="0"/>
        <v>11456226.7764506</v>
      </c>
      <c r="L14" s="36"/>
      <c r="M14" s="36"/>
      <c r="N14" s="36"/>
      <c r="O14" s="36"/>
      <c r="P14" s="36"/>
      <c r="Q14" s="36"/>
    </row>
    <row r="15" spans="1:18" ht="14.1" customHeight="1">
      <c r="A15" s="415" t="s">
        <v>147</v>
      </c>
      <c r="B15" s="411" t="s">
        <v>25</v>
      </c>
      <c r="C15" s="145" t="s">
        <v>299</v>
      </c>
      <c r="D15" s="146">
        <v>715259.64300000004</v>
      </c>
      <c r="E15" s="147">
        <v>584798.35</v>
      </c>
      <c r="F15" s="147">
        <v>78214.125</v>
      </c>
      <c r="G15" s="148">
        <f t="shared" si="3"/>
        <v>1378272.118</v>
      </c>
      <c r="H15" s="146">
        <v>7820340.9809999997</v>
      </c>
      <c r="I15" s="147">
        <v>6359172.8459999999</v>
      </c>
      <c r="J15" s="147">
        <v>849758.89599999995</v>
      </c>
      <c r="K15" s="149">
        <f t="shared" si="0"/>
        <v>15029272.722999999</v>
      </c>
      <c r="L15" s="36"/>
      <c r="M15" s="36"/>
      <c r="N15" s="36"/>
      <c r="O15" s="36"/>
      <c r="P15" s="36"/>
      <c r="Q15" s="36"/>
    </row>
    <row r="16" spans="1:18" ht="14.1" customHeight="1">
      <c r="A16" s="413"/>
      <c r="B16" s="409"/>
      <c r="C16" s="135" t="s">
        <v>201</v>
      </c>
      <c r="D16" s="136">
        <v>107851.97099999999</v>
      </c>
      <c r="E16" s="137">
        <v>48842.535000000011</v>
      </c>
      <c r="F16" s="137">
        <v>13224.357</v>
      </c>
      <c r="G16" s="138">
        <f>SUM(D16:F16)</f>
        <v>169918.86299999998</v>
      </c>
      <c r="H16" s="136">
        <v>1179055.3332710001</v>
      </c>
      <c r="I16" s="137">
        <v>531123.32452569995</v>
      </c>
      <c r="J16" s="137">
        <v>143588.41508299997</v>
      </c>
      <c r="K16" s="139">
        <f t="shared" si="0"/>
        <v>1853767.0728797</v>
      </c>
      <c r="L16" s="36"/>
      <c r="M16" s="36"/>
      <c r="N16" s="36"/>
      <c r="O16" s="36"/>
      <c r="P16" s="36"/>
      <c r="Q16" s="36"/>
    </row>
    <row r="17" spans="1:17" ht="14.1" customHeight="1">
      <c r="A17" s="413"/>
      <c r="B17" s="409"/>
      <c r="C17" s="135" t="s">
        <v>300</v>
      </c>
      <c r="D17" s="136">
        <v>152759.49900000001</v>
      </c>
      <c r="E17" s="137">
        <v>87896.722999999998</v>
      </c>
      <c r="F17" s="137">
        <v>22691.079999999998</v>
      </c>
      <c r="G17" s="138">
        <f>SUM(D17:F17)</f>
        <v>263347.30200000003</v>
      </c>
      <c r="H17" s="136">
        <v>1672359.1067289999</v>
      </c>
      <c r="I17" s="137">
        <v>960127.66647429997</v>
      </c>
      <c r="J17" s="137">
        <v>247689.12591700006</v>
      </c>
      <c r="K17" s="139">
        <f t="shared" si="0"/>
        <v>2880175.8991203001</v>
      </c>
      <c r="L17" s="36"/>
      <c r="M17" s="36"/>
      <c r="N17" s="36"/>
      <c r="O17" s="36"/>
      <c r="P17" s="36"/>
      <c r="Q17" s="36"/>
    </row>
    <row r="18" spans="1:17" ht="14.1" customHeight="1">
      <c r="A18" s="413"/>
      <c r="B18" s="409"/>
      <c r="C18" s="135" t="s">
        <v>313</v>
      </c>
      <c r="D18" s="136">
        <v>15018.412</v>
      </c>
      <c r="E18" s="137">
        <v>0</v>
      </c>
      <c r="F18" s="137">
        <v>7254.2070000000003</v>
      </c>
      <c r="G18" s="138">
        <f>SUM(D18:F18)</f>
        <v>22272.618999999999</v>
      </c>
      <c r="H18" s="136">
        <v>163229.29300000001</v>
      </c>
      <c r="I18" s="137">
        <v>0</v>
      </c>
      <c r="J18" s="137">
        <v>79207.565000000002</v>
      </c>
      <c r="K18" s="139">
        <f t="shared" si="0"/>
        <v>242436.85800000001</v>
      </c>
      <c r="L18" s="36"/>
      <c r="M18" s="36"/>
      <c r="N18" s="36"/>
      <c r="O18" s="36"/>
      <c r="P18" s="36"/>
      <c r="Q18" s="36"/>
    </row>
    <row r="19" spans="1:17" ht="14.1" customHeight="1">
      <c r="A19" s="413"/>
      <c r="B19" s="410"/>
      <c r="C19" s="140" t="s">
        <v>24</v>
      </c>
      <c r="D19" s="141">
        <v>990889.52500000014</v>
      </c>
      <c r="E19" s="142">
        <v>721537.60800000001</v>
      </c>
      <c r="F19" s="142">
        <v>121383.769</v>
      </c>
      <c r="G19" s="143">
        <f>SUM(D19:F19)</f>
        <v>1833810.9020000002</v>
      </c>
      <c r="H19" s="141">
        <v>10834984.714</v>
      </c>
      <c r="I19" s="142">
        <v>7850423.8369999994</v>
      </c>
      <c r="J19" s="142">
        <v>1320244.0019999999</v>
      </c>
      <c r="K19" s="144">
        <f>SUM(H19:J19)</f>
        <v>20005652.552999999</v>
      </c>
      <c r="L19" s="36"/>
      <c r="M19" s="36"/>
      <c r="N19" s="36"/>
      <c r="O19" s="36"/>
      <c r="P19" s="36"/>
      <c r="Q19" s="36"/>
    </row>
    <row r="20" spans="1:17" ht="14.1" customHeight="1">
      <c r="A20" s="413"/>
      <c r="B20" s="411" t="s">
        <v>26</v>
      </c>
      <c r="C20" s="145" t="s">
        <v>299</v>
      </c>
      <c r="D20" s="146">
        <v>4174.1289999999999</v>
      </c>
      <c r="E20" s="147">
        <v>31317.238999999998</v>
      </c>
      <c r="F20" s="147">
        <v>185.07</v>
      </c>
      <c r="G20" s="148">
        <f t="shared" si="3"/>
        <v>35676.437999999995</v>
      </c>
      <c r="H20" s="146">
        <v>45636.197468999999</v>
      </c>
      <c r="I20" s="147">
        <v>343421.26089199999</v>
      </c>
      <c r="J20" s="147">
        <v>2017.1565130000001</v>
      </c>
      <c r="K20" s="149">
        <f t="shared" si="0"/>
        <v>391074.61487400002</v>
      </c>
      <c r="L20" s="36"/>
      <c r="M20" s="36"/>
      <c r="N20" s="36"/>
      <c r="O20" s="36"/>
      <c r="P20" s="36"/>
      <c r="Q20" s="36"/>
    </row>
    <row r="21" spans="1:17" ht="14.1" customHeight="1">
      <c r="A21" s="413"/>
      <c r="B21" s="409"/>
      <c r="C21" s="135" t="s">
        <v>201</v>
      </c>
      <c r="D21" s="136">
        <v>0</v>
      </c>
      <c r="E21" s="137">
        <v>0</v>
      </c>
      <c r="F21" s="137">
        <v>7.1509999999999998</v>
      </c>
      <c r="G21" s="138">
        <f t="shared" si="3"/>
        <v>7.1509999999999998</v>
      </c>
      <c r="H21" s="136">
        <v>0</v>
      </c>
      <c r="I21" s="137">
        <v>0</v>
      </c>
      <c r="J21" s="137">
        <v>90.460999999999999</v>
      </c>
      <c r="K21" s="139">
        <f t="shared" si="0"/>
        <v>90.460999999999999</v>
      </c>
      <c r="L21" s="36"/>
      <c r="M21" s="36"/>
      <c r="N21" s="36"/>
      <c r="O21" s="36"/>
      <c r="P21" s="36"/>
      <c r="Q21" s="36"/>
    </row>
    <row r="22" spans="1:17" ht="14.1" customHeight="1">
      <c r="A22" s="413"/>
      <c r="B22" s="409"/>
      <c r="C22" s="135" t="s">
        <v>300</v>
      </c>
      <c r="D22" s="136">
        <v>0</v>
      </c>
      <c r="E22" s="137">
        <v>0</v>
      </c>
      <c r="F22" s="137">
        <v>792.5920000000001</v>
      </c>
      <c r="G22" s="138">
        <f t="shared" si="3"/>
        <v>792.5920000000001</v>
      </c>
      <c r="H22" s="136">
        <v>0</v>
      </c>
      <c r="I22" s="137">
        <v>0</v>
      </c>
      <c r="J22" s="137">
        <v>8602.0150000000012</v>
      </c>
      <c r="K22" s="139">
        <f t="shared" si="0"/>
        <v>8602.0150000000012</v>
      </c>
      <c r="L22" s="36"/>
      <c r="M22" s="36"/>
      <c r="N22" s="36"/>
      <c r="O22" s="36"/>
      <c r="P22" s="36"/>
      <c r="Q22" s="36"/>
    </row>
    <row r="23" spans="1:17" ht="14.1" customHeight="1">
      <c r="A23" s="413"/>
      <c r="B23" s="409"/>
      <c r="C23" s="135" t="s">
        <v>313</v>
      </c>
      <c r="D23" s="136">
        <v>0</v>
      </c>
      <c r="E23" s="137">
        <v>0</v>
      </c>
      <c r="F23" s="137">
        <v>0</v>
      </c>
      <c r="G23" s="138">
        <f t="shared" si="3"/>
        <v>0</v>
      </c>
      <c r="H23" s="136">
        <v>0</v>
      </c>
      <c r="I23" s="137">
        <v>0</v>
      </c>
      <c r="J23" s="137">
        <v>0</v>
      </c>
      <c r="K23" s="139">
        <f t="shared" si="0"/>
        <v>0</v>
      </c>
      <c r="L23" s="36"/>
      <c r="M23" s="36"/>
      <c r="N23" s="36"/>
      <c r="O23" s="36"/>
      <c r="P23" s="36"/>
      <c r="Q23" s="36"/>
    </row>
    <row r="24" spans="1:17" ht="14.1" customHeight="1">
      <c r="A24" s="413"/>
      <c r="B24" s="410"/>
      <c r="C24" s="140" t="s">
        <v>24</v>
      </c>
      <c r="D24" s="141">
        <v>4174.1289999999999</v>
      </c>
      <c r="E24" s="142">
        <v>31317.238999999998</v>
      </c>
      <c r="F24" s="142">
        <v>984.8130000000001</v>
      </c>
      <c r="G24" s="143">
        <f t="shared" si="3"/>
        <v>36476.180999999997</v>
      </c>
      <c r="H24" s="141">
        <v>45636.197468999999</v>
      </c>
      <c r="I24" s="142">
        <v>343421.26089199999</v>
      </c>
      <c r="J24" s="142">
        <v>10709.632513</v>
      </c>
      <c r="K24" s="144">
        <f t="shared" si="0"/>
        <v>399767.09087399999</v>
      </c>
      <c r="L24" s="36"/>
      <c r="M24" s="36"/>
      <c r="N24" s="36"/>
      <c r="O24" s="36"/>
      <c r="P24" s="36"/>
      <c r="Q24" s="36"/>
    </row>
    <row r="25" spans="1:17" ht="14.1" customHeight="1">
      <c r="A25" s="413"/>
      <c r="B25" s="412" t="s">
        <v>51</v>
      </c>
      <c r="C25" s="145" t="s">
        <v>299</v>
      </c>
      <c r="D25" s="136">
        <v>711085.51400000008</v>
      </c>
      <c r="E25" s="137">
        <v>553481.11100000003</v>
      </c>
      <c r="F25" s="137">
        <v>78029.054999999993</v>
      </c>
      <c r="G25" s="138">
        <f t="shared" si="3"/>
        <v>1342595.68</v>
      </c>
      <c r="H25" s="136">
        <v>7774704.7835309999</v>
      </c>
      <c r="I25" s="137">
        <v>6015751.5851079999</v>
      </c>
      <c r="J25" s="137">
        <v>847741.73948699993</v>
      </c>
      <c r="K25" s="139">
        <f t="shared" si="0"/>
        <v>14638198.108126</v>
      </c>
      <c r="L25" s="36"/>
      <c r="M25" s="36"/>
      <c r="N25" s="36"/>
      <c r="O25" s="36"/>
      <c r="P25" s="36"/>
      <c r="Q25" s="36"/>
    </row>
    <row r="26" spans="1:17" ht="14.1" customHeight="1">
      <c r="A26" s="413"/>
      <c r="B26" s="409"/>
      <c r="C26" s="135" t="s">
        <v>201</v>
      </c>
      <c r="D26" s="136">
        <v>107851.97099999999</v>
      </c>
      <c r="E26" s="137">
        <v>48842.535000000011</v>
      </c>
      <c r="F26" s="137">
        <v>13217.206</v>
      </c>
      <c r="G26" s="138">
        <f t="shared" si="3"/>
        <v>169911.712</v>
      </c>
      <c r="H26" s="136">
        <v>1179055.3332710001</v>
      </c>
      <c r="I26" s="137">
        <v>531123.32452569995</v>
      </c>
      <c r="J26" s="137">
        <v>143497.95408299996</v>
      </c>
      <c r="K26" s="139">
        <f t="shared" si="0"/>
        <v>1853676.6118796999</v>
      </c>
      <c r="L26" s="36"/>
      <c r="M26" s="36"/>
      <c r="N26" s="36"/>
      <c r="O26" s="36"/>
      <c r="P26" s="36"/>
      <c r="Q26" s="36"/>
    </row>
    <row r="27" spans="1:17" ht="14.1" customHeight="1">
      <c r="A27" s="413"/>
      <c r="B27" s="409"/>
      <c r="C27" s="135" t="s">
        <v>300</v>
      </c>
      <c r="D27" s="136">
        <v>152759.49900000001</v>
      </c>
      <c r="E27" s="137">
        <v>87896.722999999998</v>
      </c>
      <c r="F27" s="137">
        <v>21898.487999999998</v>
      </c>
      <c r="G27" s="138">
        <f t="shared" si="3"/>
        <v>262554.71000000002</v>
      </c>
      <c r="H27" s="136">
        <v>1672359.1067289999</v>
      </c>
      <c r="I27" s="137">
        <v>960127.66647429997</v>
      </c>
      <c r="J27" s="137">
        <v>239087.11091700004</v>
      </c>
      <c r="K27" s="139">
        <f t="shared" si="0"/>
        <v>2871573.8841202999</v>
      </c>
      <c r="L27" s="36"/>
      <c r="M27" s="36"/>
      <c r="N27" s="36"/>
      <c r="O27" s="36"/>
      <c r="P27" s="36"/>
      <c r="Q27" s="36"/>
    </row>
    <row r="28" spans="1:17" ht="14.1" customHeight="1">
      <c r="A28" s="413"/>
      <c r="B28" s="409"/>
      <c r="C28" s="135" t="s">
        <v>313</v>
      </c>
      <c r="D28" s="136">
        <v>15018.412</v>
      </c>
      <c r="E28" s="137">
        <v>0</v>
      </c>
      <c r="F28" s="137">
        <v>7254.2070000000003</v>
      </c>
      <c r="G28" s="138">
        <f t="shared" si="3"/>
        <v>22272.618999999999</v>
      </c>
      <c r="H28" s="136">
        <v>163229.29300000001</v>
      </c>
      <c r="I28" s="137">
        <v>0</v>
      </c>
      <c r="J28" s="137">
        <v>79207.565000000002</v>
      </c>
      <c r="K28" s="139">
        <f t="shared" si="0"/>
        <v>242436.85800000001</v>
      </c>
      <c r="L28" s="36"/>
      <c r="M28" s="36"/>
      <c r="N28" s="36"/>
      <c r="O28" s="36"/>
      <c r="P28" s="36"/>
      <c r="Q28" s="36"/>
    </row>
    <row r="29" spans="1:17" ht="14.1" customHeight="1">
      <c r="A29" s="413"/>
      <c r="B29" s="410"/>
      <c r="C29" s="140" t="s">
        <v>24</v>
      </c>
      <c r="D29" s="141">
        <v>986715.39600000018</v>
      </c>
      <c r="E29" s="142">
        <v>690220.36900000006</v>
      </c>
      <c r="F29" s="142">
        <v>120398.95599999999</v>
      </c>
      <c r="G29" s="143">
        <f t="shared" si="3"/>
        <v>1797334.7210000001</v>
      </c>
      <c r="H29" s="141">
        <v>10789348.516531</v>
      </c>
      <c r="I29" s="142">
        <v>7507002.5761079993</v>
      </c>
      <c r="J29" s="142">
        <v>1309534.3694869999</v>
      </c>
      <c r="K29" s="144">
        <f t="shared" si="0"/>
        <v>19605885.462125998</v>
      </c>
      <c r="L29" s="36"/>
      <c r="M29" s="36"/>
      <c r="N29" s="36"/>
      <c r="O29" s="36"/>
      <c r="P29" s="36"/>
      <c r="Q29" s="36"/>
    </row>
    <row r="30" spans="1:17" ht="15" customHeight="1">
      <c r="A30" s="414"/>
      <c r="B30" s="416" t="s">
        <v>53</v>
      </c>
      <c r="C30" s="416"/>
      <c r="D30" s="141">
        <v>1274775.0636611336</v>
      </c>
      <c r="E30" s="142">
        <v>581484.26466113399</v>
      </c>
      <c r="F30" s="142">
        <v>460769.27766113402</v>
      </c>
      <c r="G30" s="143">
        <f>F30</f>
        <v>460769.27766113402</v>
      </c>
      <c r="H30" s="141">
        <v>14146310.252695946</v>
      </c>
      <c r="I30" s="142">
        <v>6605832.7343126433</v>
      </c>
      <c r="J30" s="142">
        <v>5292841.0841063447</v>
      </c>
      <c r="K30" s="144">
        <f>J30</f>
        <v>5292841.0841063447</v>
      </c>
      <c r="L30" s="36"/>
      <c r="M30" s="36"/>
      <c r="N30" s="36"/>
      <c r="O30" s="36"/>
      <c r="P30" s="36"/>
      <c r="Q30" s="36"/>
    </row>
    <row r="31" spans="1:17" ht="15" customHeight="1">
      <c r="A31" s="415" t="s">
        <v>49</v>
      </c>
      <c r="B31" s="418" t="s">
        <v>191</v>
      </c>
      <c r="C31" s="145" t="s">
        <v>27</v>
      </c>
      <c r="D31" s="146">
        <v>8221.3579999999984</v>
      </c>
      <c r="E31" s="147">
        <v>7952.9230000000016</v>
      </c>
      <c r="F31" s="147">
        <v>8586.7400000000016</v>
      </c>
      <c r="G31" s="148">
        <f t="shared" si="3"/>
        <v>24761.021000000001</v>
      </c>
      <c r="H31" s="146">
        <v>89361.862000000008</v>
      </c>
      <c r="I31" s="147">
        <v>86097.324000000022</v>
      </c>
      <c r="J31" s="147">
        <v>92675.278999999995</v>
      </c>
      <c r="K31" s="149">
        <f t="shared" si="0"/>
        <v>268134.46500000003</v>
      </c>
      <c r="L31" s="36"/>
      <c r="M31" s="36"/>
      <c r="N31" s="36"/>
      <c r="O31" s="36"/>
      <c r="P31" s="36"/>
      <c r="Q31" s="36"/>
    </row>
    <row r="32" spans="1:17" ht="15" customHeight="1">
      <c r="A32" s="413"/>
      <c r="B32" s="412"/>
      <c r="C32" s="135" t="s">
        <v>30</v>
      </c>
      <c r="D32" s="136">
        <v>433.4559999999999</v>
      </c>
      <c r="E32" s="137">
        <v>311.15099999999802</v>
      </c>
      <c r="F32" s="137">
        <v>226.00299999999831</v>
      </c>
      <c r="G32" s="138">
        <f t="shared" si="3"/>
        <v>970.60999999999626</v>
      </c>
      <c r="H32" s="136">
        <v>4783.193000000012</v>
      </c>
      <c r="I32" s="137">
        <v>3462.5359999999791</v>
      </c>
      <c r="J32" s="137">
        <v>2496.9360000000179</v>
      </c>
      <c r="K32" s="139">
        <f t="shared" si="0"/>
        <v>10742.66500000001</v>
      </c>
      <c r="L32" s="36"/>
      <c r="M32" s="36"/>
      <c r="N32" s="36"/>
      <c r="O32" s="36"/>
      <c r="P32" s="36"/>
      <c r="Q32" s="36"/>
    </row>
    <row r="33" spans="1:17" ht="15" customHeight="1">
      <c r="A33" s="413"/>
      <c r="B33" s="417"/>
      <c r="C33" s="140" t="s">
        <v>24</v>
      </c>
      <c r="D33" s="141">
        <v>8654.8139999999985</v>
      </c>
      <c r="E33" s="142">
        <v>8264.0740000000005</v>
      </c>
      <c r="F33" s="142">
        <v>8812.7430000000004</v>
      </c>
      <c r="G33" s="143">
        <f t="shared" si="3"/>
        <v>25731.631000000001</v>
      </c>
      <c r="H33" s="141">
        <v>94145.055000000022</v>
      </c>
      <c r="I33" s="142">
        <v>89559.86</v>
      </c>
      <c r="J33" s="142">
        <v>95172.215000000011</v>
      </c>
      <c r="K33" s="144">
        <f t="shared" si="0"/>
        <v>278877.13000000006</v>
      </c>
      <c r="L33" s="36"/>
      <c r="M33" s="36"/>
      <c r="N33" s="36"/>
      <c r="O33" s="36"/>
      <c r="P33" s="36"/>
      <c r="Q33" s="36"/>
    </row>
    <row r="34" spans="1:17" ht="15" customHeight="1">
      <c r="A34" s="413"/>
      <c r="B34" s="412" t="s">
        <v>192</v>
      </c>
      <c r="C34" s="135" t="s">
        <v>27</v>
      </c>
      <c r="D34" s="136">
        <v>828.88599999999997</v>
      </c>
      <c r="E34" s="137">
        <v>762.57299999999998</v>
      </c>
      <c r="F34" s="137">
        <v>764.8330000000002</v>
      </c>
      <c r="G34" s="138">
        <f t="shared" si="3"/>
        <v>2356.2919999999999</v>
      </c>
      <c r="H34" s="136">
        <v>8733.27</v>
      </c>
      <c r="I34" s="137">
        <v>8036.7129999999997</v>
      </c>
      <c r="J34" s="137">
        <v>8039.1309999999994</v>
      </c>
      <c r="K34" s="139">
        <f t="shared" si="0"/>
        <v>24809.114000000001</v>
      </c>
      <c r="L34" s="36"/>
      <c r="M34" s="36"/>
      <c r="N34" s="36"/>
      <c r="O34" s="36"/>
      <c r="P34" s="36"/>
      <c r="Q34" s="36"/>
    </row>
    <row r="35" spans="1:17" ht="15" customHeight="1">
      <c r="A35" s="413"/>
      <c r="B35" s="412"/>
      <c r="C35" s="135" t="s">
        <v>30</v>
      </c>
      <c r="D35" s="136">
        <v>0</v>
      </c>
      <c r="E35" s="137">
        <v>0</v>
      </c>
      <c r="F35" s="137">
        <v>0</v>
      </c>
      <c r="G35" s="138">
        <f t="shared" si="3"/>
        <v>0</v>
      </c>
      <c r="H35" s="136">
        <v>0</v>
      </c>
      <c r="I35" s="137">
        <v>0</v>
      </c>
      <c r="J35" s="137">
        <v>0</v>
      </c>
      <c r="K35" s="139">
        <f t="shared" si="0"/>
        <v>0</v>
      </c>
      <c r="L35" s="36"/>
      <c r="M35" s="36"/>
      <c r="N35" s="36"/>
      <c r="O35" s="36"/>
      <c r="P35" s="36"/>
      <c r="Q35" s="36"/>
    </row>
    <row r="36" spans="1:17" ht="15" customHeight="1">
      <c r="A36" s="413"/>
      <c r="B36" s="417"/>
      <c r="C36" s="140" t="s">
        <v>24</v>
      </c>
      <c r="D36" s="141">
        <v>828.88599999999997</v>
      </c>
      <c r="E36" s="142">
        <v>762.57299999999998</v>
      </c>
      <c r="F36" s="142">
        <v>764.8330000000002</v>
      </c>
      <c r="G36" s="143">
        <f t="shared" si="3"/>
        <v>2356.2919999999999</v>
      </c>
      <c r="H36" s="141">
        <v>8733.27</v>
      </c>
      <c r="I36" s="142">
        <v>8036.7129999999997</v>
      </c>
      <c r="J36" s="142">
        <v>8039.1309999999994</v>
      </c>
      <c r="K36" s="144">
        <f t="shared" si="0"/>
        <v>24809.114000000001</v>
      </c>
      <c r="L36" s="36"/>
      <c r="M36" s="36"/>
      <c r="N36" s="36"/>
      <c r="O36" s="36"/>
      <c r="P36" s="36"/>
      <c r="Q36" s="36"/>
    </row>
    <row r="37" spans="1:17" ht="15" customHeight="1">
      <c r="A37" s="413"/>
      <c r="B37" s="412" t="s">
        <v>24</v>
      </c>
      <c r="C37" s="135" t="s">
        <v>27</v>
      </c>
      <c r="D37" s="136">
        <v>9050.2439999999988</v>
      </c>
      <c r="E37" s="137">
        <v>8715.496000000001</v>
      </c>
      <c r="F37" s="137">
        <v>9351.5730000000021</v>
      </c>
      <c r="G37" s="138">
        <f t="shared" si="3"/>
        <v>27117.313000000002</v>
      </c>
      <c r="H37" s="136">
        <v>98095.132000000012</v>
      </c>
      <c r="I37" s="137">
        <v>94134.037000000026</v>
      </c>
      <c r="J37" s="137">
        <v>100714.40999999999</v>
      </c>
      <c r="K37" s="139">
        <f t="shared" si="0"/>
        <v>292943.57900000003</v>
      </c>
      <c r="L37" s="36"/>
      <c r="M37" s="36"/>
      <c r="N37" s="36"/>
      <c r="O37" s="36"/>
      <c r="P37" s="36"/>
      <c r="Q37" s="36"/>
    </row>
    <row r="38" spans="1:17" ht="15" customHeight="1">
      <c r="A38" s="413"/>
      <c r="B38" s="412"/>
      <c r="C38" s="135" t="s">
        <v>30</v>
      </c>
      <c r="D38" s="136">
        <v>433.4559999999999</v>
      </c>
      <c r="E38" s="137">
        <v>311.15099999999802</v>
      </c>
      <c r="F38" s="137">
        <v>226.00299999999831</v>
      </c>
      <c r="G38" s="138">
        <f t="shared" si="3"/>
        <v>970.60999999999626</v>
      </c>
      <c r="H38" s="136">
        <v>4783.193000000012</v>
      </c>
      <c r="I38" s="137">
        <v>3462.5359999999791</v>
      </c>
      <c r="J38" s="137">
        <v>2496.9360000000179</v>
      </c>
      <c r="K38" s="139">
        <f t="shared" si="0"/>
        <v>10742.66500000001</v>
      </c>
      <c r="L38" s="36"/>
      <c r="M38" s="36"/>
      <c r="N38" s="36"/>
      <c r="O38" s="36"/>
      <c r="P38" s="36"/>
      <c r="Q38" s="36"/>
    </row>
    <row r="39" spans="1:17" ht="15" customHeight="1">
      <c r="A39" s="414"/>
      <c r="B39" s="417"/>
      <c r="C39" s="140" t="s">
        <v>24</v>
      </c>
      <c r="D39" s="141">
        <v>9483.6999999999989</v>
      </c>
      <c r="E39" s="142">
        <v>9026.6470000000008</v>
      </c>
      <c r="F39" s="142">
        <v>9577.5760000000009</v>
      </c>
      <c r="G39" s="143">
        <f t="shared" si="3"/>
        <v>28087.923000000003</v>
      </c>
      <c r="H39" s="141">
        <v>102878.32500000003</v>
      </c>
      <c r="I39" s="142">
        <v>97596.573000000004</v>
      </c>
      <c r="J39" s="142">
        <v>103211.34600000001</v>
      </c>
      <c r="K39" s="144">
        <f t="shared" si="0"/>
        <v>303686.24400000006</v>
      </c>
      <c r="L39" s="36"/>
      <c r="M39" s="36"/>
      <c r="N39" s="36"/>
      <c r="O39" s="36"/>
      <c r="P39" s="36"/>
      <c r="Q39" s="36"/>
    </row>
    <row r="40" spans="1:17" ht="15" customHeight="1">
      <c r="A40" s="415" t="s">
        <v>63</v>
      </c>
      <c r="B40" s="418" t="s">
        <v>52</v>
      </c>
      <c r="C40" s="145" t="s">
        <v>65</v>
      </c>
      <c r="D40" s="146">
        <v>1126585.281187928</v>
      </c>
      <c r="E40" s="147">
        <v>846911.016841901</v>
      </c>
      <c r="F40" s="147">
        <v>677500.12643136899</v>
      </c>
      <c r="G40" s="148">
        <f t="shared" si="3"/>
        <v>2650996.424461198</v>
      </c>
      <c r="H40" s="146">
        <v>12333574.954479055</v>
      </c>
      <c r="I40" s="147">
        <v>9239239.6451537963</v>
      </c>
      <c r="J40" s="147">
        <v>7436445.4617560431</v>
      </c>
      <c r="K40" s="149">
        <f t="shared" si="0"/>
        <v>29009260.061388895</v>
      </c>
      <c r="L40" s="36"/>
      <c r="M40" s="36"/>
      <c r="N40" s="36"/>
      <c r="O40" s="36"/>
      <c r="P40" s="36"/>
      <c r="Q40" s="36"/>
    </row>
    <row r="41" spans="1:17" ht="15" customHeight="1">
      <c r="A41" s="413"/>
      <c r="B41" s="412"/>
      <c r="C41" s="135" t="s">
        <v>28</v>
      </c>
      <c r="D41" s="136">
        <v>15879.399562252998</v>
      </c>
      <c r="E41" s="137">
        <v>16157.544197491001</v>
      </c>
      <c r="F41" s="137">
        <v>12537.362586671001</v>
      </c>
      <c r="G41" s="138">
        <f t="shared" si="3"/>
        <v>44574.306346414996</v>
      </c>
      <c r="H41" s="136">
        <v>173849.65429000001</v>
      </c>
      <c r="I41" s="137">
        <v>176263.30231</v>
      </c>
      <c r="J41" s="137">
        <v>137622.74550000002</v>
      </c>
      <c r="K41" s="139">
        <f t="shared" si="0"/>
        <v>487735.70210000005</v>
      </c>
      <c r="L41" s="36"/>
      <c r="M41" s="36"/>
      <c r="N41" s="36"/>
      <c r="O41" s="36"/>
      <c r="P41" s="36"/>
      <c r="Q41" s="36"/>
    </row>
    <row r="42" spans="1:17" ht="15" customHeight="1">
      <c r="A42" s="413"/>
      <c r="B42" s="417"/>
      <c r="C42" s="140" t="s">
        <v>24</v>
      </c>
      <c r="D42" s="141">
        <v>1142464.680750181</v>
      </c>
      <c r="E42" s="142">
        <v>863068.56103939202</v>
      </c>
      <c r="F42" s="142">
        <v>690037.48901804001</v>
      </c>
      <c r="G42" s="143">
        <f t="shared" si="3"/>
        <v>2695570.7308076127</v>
      </c>
      <c r="H42" s="141">
        <v>12507424.608769055</v>
      </c>
      <c r="I42" s="142">
        <v>9415502.9474637955</v>
      </c>
      <c r="J42" s="142">
        <v>7574068.2072560433</v>
      </c>
      <c r="K42" s="144">
        <f t="shared" si="0"/>
        <v>29496995.763488896</v>
      </c>
      <c r="L42" s="36"/>
      <c r="M42" s="36"/>
      <c r="N42" s="36"/>
      <c r="O42" s="36"/>
      <c r="P42" s="36"/>
      <c r="Q42" s="36"/>
    </row>
    <row r="43" spans="1:17" ht="15" customHeight="1">
      <c r="A43" s="413"/>
      <c r="B43" s="418" t="s">
        <v>296</v>
      </c>
      <c r="C43" s="145" t="s">
        <v>65</v>
      </c>
      <c r="D43" s="146">
        <v>1108.318</v>
      </c>
      <c r="E43" s="147">
        <v>1000.091</v>
      </c>
      <c r="F43" s="147">
        <v>863.02700000000004</v>
      </c>
      <c r="G43" s="148">
        <f t="shared" si="3"/>
        <v>2971.4360000000001</v>
      </c>
      <c r="H43" s="146">
        <v>11810.072</v>
      </c>
      <c r="I43" s="147">
        <v>10643.384</v>
      </c>
      <c r="J43" s="147">
        <v>9136.226999999999</v>
      </c>
      <c r="K43" s="149">
        <f t="shared" si="0"/>
        <v>31589.682999999997</v>
      </c>
      <c r="L43" s="36"/>
      <c r="M43" s="36"/>
      <c r="N43" s="36"/>
      <c r="O43" s="36"/>
      <c r="P43" s="36"/>
      <c r="Q43" s="36"/>
    </row>
    <row r="44" spans="1:17" ht="15" customHeight="1">
      <c r="A44" s="413"/>
      <c r="B44" s="412"/>
      <c r="C44" s="135" t="s">
        <v>28</v>
      </c>
      <c r="D44" s="136">
        <v>0</v>
      </c>
      <c r="E44" s="137">
        <v>0</v>
      </c>
      <c r="F44" s="137">
        <v>0</v>
      </c>
      <c r="G44" s="138">
        <f t="shared" si="3"/>
        <v>0</v>
      </c>
      <c r="H44" s="136">
        <v>0</v>
      </c>
      <c r="I44" s="137">
        <v>0</v>
      </c>
      <c r="J44" s="137">
        <v>0</v>
      </c>
      <c r="K44" s="139">
        <f t="shared" si="0"/>
        <v>0</v>
      </c>
      <c r="L44" s="36"/>
      <c r="M44" s="36"/>
      <c r="N44" s="36"/>
      <c r="O44" s="36"/>
      <c r="P44" s="36"/>
      <c r="Q44" s="36"/>
    </row>
    <row r="45" spans="1:17" ht="15" customHeight="1">
      <c r="A45" s="413"/>
      <c r="B45" s="417"/>
      <c r="C45" s="140" t="s">
        <v>24</v>
      </c>
      <c r="D45" s="141">
        <v>1108.318</v>
      </c>
      <c r="E45" s="142">
        <v>1000.091</v>
      </c>
      <c r="F45" s="142">
        <v>863.02700000000004</v>
      </c>
      <c r="G45" s="143">
        <f t="shared" si="3"/>
        <v>2971.4360000000001</v>
      </c>
      <c r="H45" s="141">
        <v>11810.072</v>
      </c>
      <c r="I45" s="142">
        <v>10643.384</v>
      </c>
      <c r="J45" s="142">
        <v>9136.226999999999</v>
      </c>
      <c r="K45" s="144">
        <f t="shared" si="0"/>
        <v>31589.682999999997</v>
      </c>
      <c r="L45" s="36"/>
      <c r="M45" s="36"/>
      <c r="N45" s="36"/>
      <c r="O45" s="36"/>
      <c r="P45" s="36"/>
      <c r="Q45" s="36"/>
    </row>
    <row r="46" spans="1:17" ht="15" customHeight="1">
      <c r="A46" s="413"/>
      <c r="B46" s="419" t="s">
        <v>83</v>
      </c>
      <c r="C46" s="419"/>
      <c r="D46" s="150">
        <v>433.4559999999999</v>
      </c>
      <c r="E46" s="151">
        <v>311.15099999999802</v>
      </c>
      <c r="F46" s="151">
        <v>226.00299999999896</v>
      </c>
      <c r="G46" s="152">
        <f t="shared" si="3"/>
        <v>970.60999999999694</v>
      </c>
      <c r="H46" s="150">
        <v>4783.193000000012</v>
      </c>
      <c r="I46" s="151">
        <v>3462.5359999999791</v>
      </c>
      <c r="J46" s="151">
        <v>2496.9360000000179</v>
      </c>
      <c r="K46" s="153">
        <f t="shared" si="0"/>
        <v>10742.66500000001</v>
      </c>
      <c r="L46" s="36"/>
      <c r="M46" s="36"/>
      <c r="N46" s="36"/>
      <c r="O46" s="36"/>
      <c r="P46" s="36"/>
      <c r="Q46" s="36"/>
    </row>
    <row r="47" spans="1:17" ht="15" customHeight="1">
      <c r="A47" s="413"/>
      <c r="B47" s="419" t="s">
        <v>82</v>
      </c>
      <c r="C47" s="419"/>
      <c r="D47" s="150">
        <v>88577.630000000019</v>
      </c>
      <c r="E47" s="151">
        <v>60048.767000000007</v>
      </c>
      <c r="F47" s="151">
        <v>29837.294000000002</v>
      </c>
      <c r="G47" s="152">
        <f t="shared" si="3"/>
        <v>178463.69100000002</v>
      </c>
      <c r="H47" s="150">
        <v>972269.34896199999</v>
      </c>
      <c r="I47" s="151">
        <v>658154.41832999978</v>
      </c>
      <c r="J47" s="151">
        <v>328354.51366599998</v>
      </c>
      <c r="K47" s="153">
        <f t="shared" si="0"/>
        <v>1958778.2809579999</v>
      </c>
      <c r="L47" s="36"/>
      <c r="M47" s="36"/>
      <c r="N47" s="36"/>
      <c r="O47" s="36"/>
      <c r="P47" s="36"/>
      <c r="Q47" s="36"/>
    </row>
    <row r="48" spans="1:17" ht="15" customHeight="1">
      <c r="A48" s="413"/>
      <c r="B48" s="412" t="s">
        <v>29</v>
      </c>
      <c r="C48" s="135" t="s">
        <v>65</v>
      </c>
      <c r="D48" s="136">
        <v>1216271.2291879281</v>
      </c>
      <c r="E48" s="137">
        <v>907959.87484190101</v>
      </c>
      <c r="F48" s="137">
        <v>708200.44743136899</v>
      </c>
      <c r="G48" s="138">
        <f t="shared" si="3"/>
        <v>2832431.5514611984</v>
      </c>
      <c r="H48" s="136">
        <v>13317654.375441056</v>
      </c>
      <c r="I48" s="137">
        <v>9908037.4474837966</v>
      </c>
      <c r="J48" s="137">
        <v>7773936.2024220433</v>
      </c>
      <c r="K48" s="139">
        <f t="shared" si="0"/>
        <v>30999628.025346898</v>
      </c>
      <c r="L48" s="36"/>
      <c r="M48" s="36"/>
      <c r="N48" s="36"/>
      <c r="O48" s="36"/>
      <c r="P48" s="36"/>
      <c r="Q48" s="36"/>
    </row>
    <row r="49" spans="1:17" ht="15" customHeight="1">
      <c r="A49" s="413"/>
      <c r="B49" s="412"/>
      <c r="C49" s="135" t="s">
        <v>91</v>
      </c>
      <c r="D49" s="136">
        <v>16432.916682252999</v>
      </c>
      <c r="E49" s="137">
        <v>16583.486299491</v>
      </c>
      <c r="F49" s="137">
        <v>12805.241566671</v>
      </c>
      <c r="G49" s="138">
        <f t="shared" si="3"/>
        <v>45821.644548415003</v>
      </c>
      <c r="H49" s="136">
        <v>179947.83733400001</v>
      </c>
      <c r="I49" s="137">
        <v>180979.404186</v>
      </c>
      <c r="J49" s="137">
        <v>140578.78254300004</v>
      </c>
      <c r="K49" s="139">
        <f t="shared" si="0"/>
        <v>501506.02406300011</v>
      </c>
      <c r="L49" s="36"/>
      <c r="M49" s="36"/>
      <c r="N49" s="36"/>
      <c r="O49" s="36"/>
      <c r="P49" s="36"/>
      <c r="Q49" s="36"/>
    </row>
    <row r="50" spans="1:17" ht="15" customHeight="1">
      <c r="A50" s="414"/>
      <c r="B50" s="417"/>
      <c r="C50" s="140" t="s">
        <v>24</v>
      </c>
      <c r="D50" s="141">
        <v>1232704.145870181</v>
      </c>
      <c r="E50" s="142">
        <v>924543.36114139203</v>
      </c>
      <c r="F50" s="142">
        <v>721005.68899804004</v>
      </c>
      <c r="G50" s="143">
        <f>SUM(D50:F50)</f>
        <v>2878253.1960096126</v>
      </c>
      <c r="H50" s="141">
        <v>13497602.212775055</v>
      </c>
      <c r="I50" s="142">
        <v>10089016.851669796</v>
      </c>
      <c r="J50" s="142">
        <v>7914514.9849650431</v>
      </c>
      <c r="K50" s="144">
        <f t="shared" si="0"/>
        <v>31501134.049409896</v>
      </c>
      <c r="L50" s="36"/>
      <c r="M50" s="36"/>
      <c r="N50" s="36"/>
      <c r="O50" s="36"/>
      <c r="P50" s="36"/>
      <c r="Q50" s="36"/>
    </row>
    <row r="51" spans="1:17" ht="0.95" customHeight="1">
      <c r="A51" s="132"/>
      <c r="B51" s="133"/>
      <c r="C51" s="154"/>
      <c r="D51" s="136"/>
      <c r="E51" s="137"/>
      <c r="F51" s="137"/>
      <c r="G51" s="138"/>
      <c r="H51" s="136"/>
      <c r="I51" s="137"/>
      <c r="J51" s="137"/>
      <c r="K51" s="139"/>
      <c r="L51" s="36"/>
      <c r="M51" s="36"/>
      <c r="N51" s="36"/>
      <c r="O51" s="36"/>
      <c r="P51" s="36"/>
      <c r="Q51" s="36"/>
    </row>
    <row r="52" spans="1:17" ht="0.95" customHeight="1">
      <c r="A52" s="132"/>
      <c r="B52" s="133"/>
      <c r="C52" s="154"/>
      <c r="D52" s="136"/>
      <c r="E52" s="137"/>
      <c r="F52" s="137"/>
      <c r="G52" s="138"/>
      <c r="H52" s="136"/>
      <c r="I52" s="137"/>
      <c r="J52" s="137"/>
      <c r="K52" s="139"/>
      <c r="L52" s="36"/>
      <c r="M52" s="36"/>
      <c r="N52" s="36"/>
      <c r="O52" s="36"/>
      <c r="P52" s="36"/>
      <c r="Q52" s="36"/>
    </row>
    <row r="53" spans="1:17" ht="0.95" customHeight="1">
      <c r="A53" s="132"/>
      <c r="B53" s="133"/>
      <c r="C53" s="154"/>
      <c r="D53" s="136"/>
      <c r="E53" s="137"/>
      <c r="F53" s="137"/>
      <c r="G53" s="138"/>
      <c r="H53" s="136"/>
      <c r="I53" s="137"/>
      <c r="J53" s="137"/>
      <c r="K53" s="139"/>
      <c r="L53" s="36"/>
      <c r="M53" s="36"/>
      <c r="N53" s="36"/>
      <c r="O53" s="36"/>
      <c r="P53" s="36"/>
      <c r="Q53" s="36"/>
    </row>
    <row r="54" spans="1:17" ht="14.1" customHeight="1">
      <c r="A54" s="416" t="s">
        <v>94</v>
      </c>
      <c r="B54" s="416"/>
      <c r="C54" s="416"/>
      <c r="D54" s="141">
        <v>-3353.1410015928559</v>
      </c>
      <c r="E54" s="142">
        <v>-1273.4675754279597</v>
      </c>
      <c r="F54" s="142">
        <v>-6909.9459784690989</v>
      </c>
      <c r="G54" s="143">
        <f t="shared" si="3"/>
        <v>-11536.554555489914</v>
      </c>
      <c r="H54" s="141">
        <v>-38603.925117556006</v>
      </c>
      <c r="I54" s="142">
        <v>-16540.210158094764</v>
      </c>
      <c r="J54" s="142">
        <v>-80191.431557643227</v>
      </c>
      <c r="K54" s="144">
        <f>SUM(H54:J54)</f>
        <v>-135335.566833294</v>
      </c>
      <c r="L54" s="36"/>
      <c r="M54" s="36"/>
      <c r="N54" s="36"/>
      <c r="O54" s="36"/>
      <c r="P54" s="36"/>
      <c r="Q54" s="36"/>
    </row>
    <row r="55" spans="1:17" ht="5.0999999999999996" customHeight="1">
      <c r="M55" s="36"/>
    </row>
    <row r="56" spans="1:17" ht="9.9499999999999993" customHeight="1">
      <c r="A56" s="402" t="s">
        <v>298</v>
      </c>
      <c r="B56" s="402"/>
      <c r="C56" s="402"/>
      <c r="D56" s="402"/>
      <c r="E56" s="402"/>
      <c r="F56" s="402"/>
      <c r="G56" s="402"/>
      <c r="H56" s="402"/>
      <c r="I56" s="402"/>
      <c r="J56" s="402"/>
      <c r="K56" s="402"/>
    </row>
    <row r="57" spans="1:17">
      <c r="A57" s="402"/>
      <c r="B57" s="402"/>
      <c r="C57" s="402"/>
      <c r="D57" s="402"/>
      <c r="E57" s="402"/>
      <c r="F57" s="402"/>
      <c r="G57" s="402"/>
      <c r="H57" s="402"/>
      <c r="I57" s="402"/>
      <c r="J57" s="402"/>
      <c r="K57" s="402"/>
    </row>
    <row r="58" spans="1:17">
      <c r="A58" s="402"/>
      <c r="B58" s="402"/>
      <c r="C58" s="402"/>
      <c r="D58" s="402"/>
      <c r="E58" s="402"/>
      <c r="F58" s="402"/>
      <c r="G58" s="402"/>
      <c r="H58" s="402"/>
      <c r="I58" s="402"/>
      <c r="J58" s="402"/>
      <c r="K58" s="402"/>
    </row>
    <row r="59" spans="1:17">
      <c r="A59" s="356"/>
      <c r="B59" s="356"/>
      <c r="C59" s="356"/>
      <c r="D59" s="356"/>
      <c r="E59" s="356"/>
      <c r="F59" s="356"/>
      <c r="G59" s="356"/>
      <c r="H59" s="356"/>
      <c r="I59" s="356"/>
      <c r="J59" s="356"/>
      <c r="K59" s="356"/>
    </row>
  </sheetData>
  <mergeCells count="25">
    <mergeCell ref="A54:C54"/>
    <mergeCell ref="A31:A39"/>
    <mergeCell ref="B31:B33"/>
    <mergeCell ref="B34:B36"/>
    <mergeCell ref="B37:B39"/>
    <mergeCell ref="B40:B42"/>
    <mergeCell ref="B43:B45"/>
    <mergeCell ref="B46:C46"/>
    <mergeCell ref="B47:C47"/>
    <mergeCell ref="A56:K58"/>
    <mergeCell ref="A2:K2"/>
    <mergeCell ref="D3:K3"/>
    <mergeCell ref="D4:G4"/>
    <mergeCell ref="H4:K4"/>
    <mergeCell ref="B6:B8"/>
    <mergeCell ref="B9:B11"/>
    <mergeCell ref="B12:B14"/>
    <mergeCell ref="A6:A14"/>
    <mergeCell ref="B15:B19"/>
    <mergeCell ref="B20:B24"/>
    <mergeCell ref="B25:B29"/>
    <mergeCell ref="A15:A30"/>
    <mergeCell ref="B30:C30"/>
    <mergeCell ref="B48:B50"/>
    <mergeCell ref="A40:A50"/>
  </mergeCells>
  <phoneticPr fontId="137" type="noConversion"/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G30 K30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3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28515625" style="4" customWidth="1"/>
    <col min="2" max="7" width="7.28515625" style="4" customWidth="1"/>
    <col min="8" max="8" width="6.7109375" style="4" customWidth="1"/>
    <col min="9" max="10" width="8.28515625" style="4" customWidth="1"/>
    <col min="11" max="11" width="8" style="4" customWidth="1"/>
    <col min="12" max="12" width="7.7109375" style="4" customWidth="1"/>
    <col min="13" max="16" width="7.42578125" style="4" customWidth="1"/>
    <col min="17" max="17" width="6.7109375" style="4" customWidth="1"/>
    <col min="18" max="18" width="8.28515625" style="4" customWidth="1"/>
    <col min="19" max="19" width="8.140625" style="4" customWidth="1"/>
    <col min="20" max="20" width="9.28515625" style="4" bestFit="1" customWidth="1"/>
    <col min="21" max="21" width="11.42578125" style="4" bestFit="1" customWidth="1"/>
    <col min="22" max="260" width="9.140625" style="4"/>
    <col min="261" max="273" width="10.7109375" style="4" customWidth="1"/>
    <col min="274" max="516" width="9.140625" style="4"/>
    <col min="517" max="529" width="10.7109375" style="4" customWidth="1"/>
    <col min="530" max="772" width="9.140625" style="4"/>
    <col min="773" max="785" width="10.7109375" style="4" customWidth="1"/>
    <col min="786" max="1028" width="9.140625" style="4"/>
    <col min="1029" max="1041" width="10.7109375" style="4" customWidth="1"/>
    <col min="1042" max="1284" width="9.140625" style="4"/>
    <col min="1285" max="1297" width="10.7109375" style="4" customWidth="1"/>
    <col min="1298" max="1540" width="9.140625" style="4"/>
    <col min="1541" max="1553" width="10.7109375" style="4" customWidth="1"/>
    <col min="1554" max="1796" width="9.140625" style="4"/>
    <col min="1797" max="1809" width="10.7109375" style="4" customWidth="1"/>
    <col min="1810" max="2052" width="9.140625" style="4"/>
    <col min="2053" max="2065" width="10.7109375" style="4" customWidth="1"/>
    <col min="2066" max="2308" width="9.140625" style="4"/>
    <col min="2309" max="2321" width="10.7109375" style="4" customWidth="1"/>
    <col min="2322" max="2564" width="9.140625" style="4"/>
    <col min="2565" max="2577" width="10.7109375" style="4" customWidth="1"/>
    <col min="2578" max="2820" width="9.140625" style="4"/>
    <col min="2821" max="2833" width="10.7109375" style="4" customWidth="1"/>
    <col min="2834" max="3076" width="9.140625" style="4"/>
    <col min="3077" max="3089" width="10.7109375" style="4" customWidth="1"/>
    <col min="3090" max="3332" width="9.140625" style="4"/>
    <col min="3333" max="3345" width="10.7109375" style="4" customWidth="1"/>
    <col min="3346" max="3588" width="9.140625" style="4"/>
    <col min="3589" max="3601" width="10.7109375" style="4" customWidth="1"/>
    <col min="3602" max="3844" width="9.140625" style="4"/>
    <col min="3845" max="3857" width="10.7109375" style="4" customWidth="1"/>
    <col min="3858" max="4100" width="9.140625" style="4"/>
    <col min="4101" max="4113" width="10.7109375" style="4" customWidth="1"/>
    <col min="4114" max="4356" width="9.140625" style="4"/>
    <col min="4357" max="4369" width="10.7109375" style="4" customWidth="1"/>
    <col min="4370" max="4612" width="9.140625" style="4"/>
    <col min="4613" max="4625" width="10.7109375" style="4" customWidth="1"/>
    <col min="4626" max="4868" width="9.140625" style="4"/>
    <col min="4869" max="4881" width="10.7109375" style="4" customWidth="1"/>
    <col min="4882" max="5124" width="9.140625" style="4"/>
    <col min="5125" max="5137" width="10.7109375" style="4" customWidth="1"/>
    <col min="5138" max="5380" width="9.140625" style="4"/>
    <col min="5381" max="5393" width="10.7109375" style="4" customWidth="1"/>
    <col min="5394" max="5636" width="9.140625" style="4"/>
    <col min="5637" max="5649" width="10.7109375" style="4" customWidth="1"/>
    <col min="5650" max="5892" width="9.140625" style="4"/>
    <col min="5893" max="5905" width="10.7109375" style="4" customWidth="1"/>
    <col min="5906" max="6148" width="9.140625" style="4"/>
    <col min="6149" max="6161" width="10.7109375" style="4" customWidth="1"/>
    <col min="6162" max="6404" width="9.140625" style="4"/>
    <col min="6405" max="6417" width="10.7109375" style="4" customWidth="1"/>
    <col min="6418" max="6660" width="9.140625" style="4"/>
    <col min="6661" max="6673" width="10.7109375" style="4" customWidth="1"/>
    <col min="6674" max="6916" width="9.140625" style="4"/>
    <col min="6917" max="6929" width="10.7109375" style="4" customWidth="1"/>
    <col min="6930" max="7172" width="9.140625" style="4"/>
    <col min="7173" max="7185" width="10.7109375" style="4" customWidth="1"/>
    <col min="7186" max="7428" width="9.140625" style="4"/>
    <col min="7429" max="7441" width="10.7109375" style="4" customWidth="1"/>
    <col min="7442" max="7684" width="9.140625" style="4"/>
    <col min="7685" max="7697" width="10.7109375" style="4" customWidth="1"/>
    <col min="7698" max="7940" width="9.140625" style="4"/>
    <col min="7941" max="7953" width="10.7109375" style="4" customWidth="1"/>
    <col min="7954" max="8196" width="9.140625" style="4"/>
    <col min="8197" max="8209" width="10.7109375" style="4" customWidth="1"/>
    <col min="8210" max="8452" width="9.140625" style="4"/>
    <col min="8453" max="8465" width="10.7109375" style="4" customWidth="1"/>
    <col min="8466" max="8708" width="9.140625" style="4"/>
    <col min="8709" max="8721" width="10.7109375" style="4" customWidth="1"/>
    <col min="8722" max="8964" width="9.140625" style="4"/>
    <col min="8965" max="8977" width="10.7109375" style="4" customWidth="1"/>
    <col min="8978" max="9220" width="9.140625" style="4"/>
    <col min="9221" max="9233" width="10.7109375" style="4" customWidth="1"/>
    <col min="9234" max="9476" width="9.140625" style="4"/>
    <col min="9477" max="9489" width="10.7109375" style="4" customWidth="1"/>
    <col min="9490" max="9732" width="9.140625" style="4"/>
    <col min="9733" max="9745" width="10.7109375" style="4" customWidth="1"/>
    <col min="9746" max="9988" width="9.140625" style="4"/>
    <col min="9989" max="10001" width="10.7109375" style="4" customWidth="1"/>
    <col min="10002" max="10244" width="9.140625" style="4"/>
    <col min="10245" max="10257" width="10.7109375" style="4" customWidth="1"/>
    <col min="10258" max="10500" width="9.140625" style="4"/>
    <col min="10501" max="10513" width="10.7109375" style="4" customWidth="1"/>
    <col min="10514" max="10756" width="9.140625" style="4"/>
    <col min="10757" max="10769" width="10.7109375" style="4" customWidth="1"/>
    <col min="10770" max="11012" width="9.140625" style="4"/>
    <col min="11013" max="11025" width="10.7109375" style="4" customWidth="1"/>
    <col min="11026" max="11268" width="9.140625" style="4"/>
    <col min="11269" max="11281" width="10.7109375" style="4" customWidth="1"/>
    <col min="11282" max="11524" width="9.140625" style="4"/>
    <col min="11525" max="11537" width="10.7109375" style="4" customWidth="1"/>
    <col min="11538" max="11780" width="9.140625" style="4"/>
    <col min="11781" max="11793" width="10.7109375" style="4" customWidth="1"/>
    <col min="11794" max="12036" width="9.140625" style="4"/>
    <col min="12037" max="12049" width="10.7109375" style="4" customWidth="1"/>
    <col min="12050" max="12292" width="9.140625" style="4"/>
    <col min="12293" max="12305" width="10.7109375" style="4" customWidth="1"/>
    <col min="12306" max="12548" width="9.140625" style="4"/>
    <col min="12549" max="12561" width="10.7109375" style="4" customWidth="1"/>
    <col min="12562" max="12804" width="9.140625" style="4"/>
    <col min="12805" max="12817" width="10.7109375" style="4" customWidth="1"/>
    <col min="12818" max="13060" width="9.140625" style="4"/>
    <col min="13061" max="13073" width="10.7109375" style="4" customWidth="1"/>
    <col min="13074" max="13316" width="9.140625" style="4"/>
    <col min="13317" max="13329" width="10.7109375" style="4" customWidth="1"/>
    <col min="13330" max="13572" width="9.140625" style="4"/>
    <col min="13573" max="13585" width="10.7109375" style="4" customWidth="1"/>
    <col min="13586" max="13828" width="9.140625" style="4"/>
    <col min="13829" max="13841" width="10.7109375" style="4" customWidth="1"/>
    <col min="13842" max="14084" width="9.140625" style="4"/>
    <col min="14085" max="14097" width="10.7109375" style="4" customWidth="1"/>
    <col min="14098" max="14340" width="9.140625" style="4"/>
    <col min="14341" max="14353" width="10.7109375" style="4" customWidth="1"/>
    <col min="14354" max="14596" width="9.140625" style="4"/>
    <col min="14597" max="14609" width="10.7109375" style="4" customWidth="1"/>
    <col min="14610" max="14852" width="9.140625" style="4"/>
    <col min="14853" max="14865" width="10.7109375" style="4" customWidth="1"/>
    <col min="14866" max="15108" width="9.140625" style="4"/>
    <col min="15109" max="15121" width="10.7109375" style="4" customWidth="1"/>
    <col min="15122" max="15364" width="9.140625" style="4"/>
    <col min="15365" max="15377" width="10.7109375" style="4" customWidth="1"/>
    <col min="15378" max="15620" width="9.140625" style="4"/>
    <col min="15621" max="15633" width="10.7109375" style="4" customWidth="1"/>
    <col min="15634" max="15876" width="9.140625" style="4"/>
    <col min="15877" max="15889" width="10.7109375" style="4" customWidth="1"/>
    <col min="15890" max="16132" width="9.140625" style="4"/>
    <col min="16133" max="16145" width="10.7109375" style="4" customWidth="1"/>
    <col min="16146" max="16384" width="9.140625" style="4"/>
  </cols>
  <sheetData>
    <row r="1" spans="1:23" ht="18">
      <c r="A1" s="425" t="s">
        <v>279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</row>
    <row r="2" spans="1:23" ht="6" customHeight="1">
      <c r="A2" s="156"/>
      <c r="B2" s="423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4"/>
      <c r="S2" s="424"/>
    </row>
    <row r="3" spans="1:23" ht="15.95" customHeight="1">
      <c r="A3" s="185">
        <f>'3.1'!A4</f>
        <v>2026</v>
      </c>
      <c r="B3" s="431" t="s">
        <v>246</v>
      </c>
      <c r="C3" s="432"/>
      <c r="D3" s="432"/>
      <c r="E3" s="432"/>
      <c r="F3" s="432"/>
      <c r="G3" s="432"/>
      <c r="H3" s="432"/>
      <c r="I3" s="432"/>
      <c r="J3" s="433"/>
      <c r="K3" s="432" t="s">
        <v>206</v>
      </c>
      <c r="L3" s="432"/>
      <c r="M3" s="432"/>
      <c r="N3" s="432"/>
      <c r="O3" s="432"/>
      <c r="P3" s="432"/>
      <c r="Q3" s="432"/>
      <c r="R3" s="432"/>
      <c r="S3" s="432"/>
    </row>
    <row r="4" spans="1:23" ht="34.5" customHeight="1">
      <c r="A4" s="172"/>
      <c r="B4" s="420" t="s">
        <v>188</v>
      </c>
      <c r="C4" s="421"/>
      <c r="D4" s="421"/>
      <c r="E4" s="420" t="s">
        <v>189</v>
      </c>
      <c r="F4" s="421"/>
      <c r="G4" s="426"/>
      <c r="H4" s="427" t="s">
        <v>233</v>
      </c>
      <c r="I4" s="427" t="s">
        <v>185</v>
      </c>
      <c r="J4" s="429" t="s">
        <v>63</v>
      </c>
      <c r="K4" s="420" t="s">
        <v>188</v>
      </c>
      <c r="L4" s="421"/>
      <c r="M4" s="421"/>
      <c r="N4" s="420" t="s">
        <v>189</v>
      </c>
      <c r="O4" s="421"/>
      <c r="P4" s="426"/>
      <c r="Q4" s="427" t="s">
        <v>233</v>
      </c>
      <c r="R4" s="427" t="s">
        <v>185</v>
      </c>
      <c r="S4" s="427" t="s">
        <v>63</v>
      </c>
    </row>
    <row r="5" spans="1:23" ht="33.75">
      <c r="A5" s="173"/>
      <c r="B5" s="174" t="s">
        <v>20</v>
      </c>
      <c r="C5" s="175" t="s">
        <v>21</v>
      </c>
      <c r="D5" s="175" t="s">
        <v>187</v>
      </c>
      <c r="E5" s="174" t="s">
        <v>25</v>
      </c>
      <c r="F5" s="175" t="s">
        <v>26</v>
      </c>
      <c r="G5" s="176" t="s">
        <v>186</v>
      </c>
      <c r="H5" s="428"/>
      <c r="I5" s="428"/>
      <c r="J5" s="430"/>
      <c r="K5" s="175" t="s">
        <v>20</v>
      </c>
      <c r="L5" s="175" t="s">
        <v>21</v>
      </c>
      <c r="M5" s="175" t="s">
        <v>187</v>
      </c>
      <c r="N5" s="174" t="s">
        <v>25</v>
      </c>
      <c r="O5" s="175" t="s">
        <v>26</v>
      </c>
      <c r="P5" s="176" t="s">
        <v>186</v>
      </c>
      <c r="Q5" s="428"/>
      <c r="R5" s="428"/>
      <c r="S5" s="428"/>
    </row>
    <row r="6" spans="1:23" ht="12" customHeight="1">
      <c r="A6" s="157" t="s">
        <v>157</v>
      </c>
      <c r="B6" s="164">
        <v>436.35123214677395</v>
      </c>
      <c r="C6" s="158">
        <v>203.199323278186</v>
      </c>
      <c r="D6" s="159">
        <v>233.15190886858795</v>
      </c>
      <c r="E6" s="170">
        <v>990.88952500000016</v>
      </c>
      <c r="F6" s="159">
        <v>4.1741289999999998</v>
      </c>
      <c r="G6" s="166">
        <v>986.71539600000017</v>
      </c>
      <c r="H6" s="159">
        <v>9.4836999999999989</v>
      </c>
      <c r="I6" s="159">
        <v>-3.353141001592856</v>
      </c>
      <c r="J6" s="166">
        <v>1232.704145870181</v>
      </c>
      <c r="K6" s="158">
        <v>4792.4004592129995</v>
      </c>
      <c r="L6" s="158">
        <v>2225.6290130865</v>
      </c>
      <c r="M6" s="159">
        <v>2566.7714461264995</v>
      </c>
      <c r="N6" s="170">
        <v>10834.984714</v>
      </c>
      <c r="O6" s="159">
        <v>45.636197468999995</v>
      </c>
      <c r="P6" s="166">
        <v>10789.348516530999</v>
      </c>
      <c r="Q6" s="159">
        <v>102.87832500000003</v>
      </c>
      <c r="R6" s="159">
        <v>-38.603925117556003</v>
      </c>
      <c r="S6" s="159">
        <v>13497.602212775055</v>
      </c>
      <c r="T6" s="48"/>
      <c r="U6" s="57"/>
      <c r="V6" s="49"/>
      <c r="W6" s="49"/>
    </row>
    <row r="7" spans="1:23" ht="12" customHeight="1">
      <c r="A7" s="157" t="s">
        <v>158</v>
      </c>
      <c r="B7" s="164">
        <v>394.129496999087</v>
      </c>
      <c r="C7" s="159">
        <v>170.106619433123</v>
      </c>
      <c r="D7" s="159">
        <v>224.022877565964</v>
      </c>
      <c r="E7" s="170">
        <v>721.53760799999998</v>
      </c>
      <c r="F7" s="159">
        <v>31.317238999999997</v>
      </c>
      <c r="G7" s="166">
        <v>690.22036900000001</v>
      </c>
      <c r="H7" s="159">
        <v>9.0266470000000005</v>
      </c>
      <c r="I7" s="159">
        <v>-1.2734675754279596</v>
      </c>
      <c r="J7" s="166">
        <v>924.54336114139198</v>
      </c>
      <c r="K7" s="158">
        <v>4326.6949657570003</v>
      </c>
      <c r="L7" s="159">
        <v>1858.8174733532999</v>
      </c>
      <c r="M7" s="159">
        <v>2467.8774924037007</v>
      </c>
      <c r="N7" s="170">
        <v>7850.4238369999994</v>
      </c>
      <c r="O7" s="159">
        <v>343.42126089199996</v>
      </c>
      <c r="P7" s="166">
        <v>7507.0025761079996</v>
      </c>
      <c r="Q7" s="159">
        <v>97.596573000000006</v>
      </c>
      <c r="R7" s="159">
        <v>-16.540210158094762</v>
      </c>
      <c r="S7" s="159">
        <v>10089.016851669796</v>
      </c>
      <c r="T7" s="50"/>
      <c r="U7" s="57"/>
      <c r="V7" s="49"/>
      <c r="W7" s="49"/>
    </row>
    <row r="8" spans="1:23" ht="12" customHeight="1">
      <c r="A8" s="160" t="s">
        <v>159</v>
      </c>
      <c r="B8" s="165">
        <v>659.66248813109496</v>
      </c>
      <c r="C8" s="162">
        <v>75.543277111524006</v>
      </c>
      <c r="D8" s="162">
        <v>584.11921101957091</v>
      </c>
      <c r="E8" s="171">
        <v>121.383769</v>
      </c>
      <c r="F8" s="162">
        <v>0.98481300000000005</v>
      </c>
      <c r="G8" s="167">
        <v>120.398956</v>
      </c>
      <c r="H8" s="162">
        <v>9.5775760000000005</v>
      </c>
      <c r="I8" s="162">
        <v>-6.9099459784690991</v>
      </c>
      <c r="J8" s="167">
        <v>721.00568899804</v>
      </c>
      <c r="K8" s="161">
        <v>7251.5375444780002</v>
      </c>
      <c r="L8" s="162">
        <v>829.95970655759993</v>
      </c>
      <c r="M8" s="162">
        <v>6421.5778379204003</v>
      </c>
      <c r="N8" s="171">
        <v>1320.2440019999999</v>
      </c>
      <c r="O8" s="162">
        <v>10.709632513000001</v>
      </c>
      <c r="P8" s="167">
        <v>1309.5343694869998</v>
      </c>
      <c r="Q8" s="162">
        <v>103.21134600000001</v>
      </c>
      <c r="R8" s="162">
        <v>-80.191431557643227</v>
      </c>
      <c r="S8" s="162">
        <v>7914.5149849650434</v>
      </c>
      <c r="T8" s="51"/>
      <c r="U8" s="57"/>
      <c r="V8" s="49"/>
      <c r="W8" s="49"/>
    </row>
    <row r="9" spans="1:23" ht="12" customHeight="1">
      <c r="A9" s="157" t="s">
        <v>160</v>
      </c>
      <c r="B9" s="164"/>
      <c r="C9" s="159"/>
      <c r="D9" s="159"/>
      <c r="E9" s="170"/>
      <c r="F9" s="159"/>
      <c r="G9" s="166"/>
      <c r="H9" s="159"/>
      <c r="I9" s="159"/>
      <c r="J9" s="166"/>
      <c r="K9" s="158"/>
      <c r="L9" s="159"/>
      <c r="M9" s="159"/>
      <c r="N9" s="170"/>
      <c r="O9" s="159"/>
      <c r="P9" s="166"/>
      <c r="Q9" s="159"/>
      <c r="R9" s="159"/>
      <c r="S9" s="159"/>
      <c r="T9" s="50"/>
      <c r="U9" s="57"/>
      <c r="V9" s="49"/>
      <c r="W9" s="49"/>
    </row>
    <row r="10" spans="1:23" ht="12" customHeight="1">
      <c r="A10" s="157" t="s">
        <v>161</v>
      </c>
      <c r="B10" s="164"/>
      <c r="C10" s="159"/>
      <c r="D10" s="159"/>
      <c r="E10" s="170"/>
      <c r="F10" s="159"/>
      <c r="G10" s="166"/>
      <c r="H10" s="159"/>
      <c r="I10" s="159"/>
      <c r="J10" s="166"/>
      <c r="K10" s="158"/>
      <c r="L10" s="159"/>
      <c r="M10" s="159"/>
      <c r="N10" s="170"/>
      <c r="O10" s="159"/>
      <c r="P10" s="166"/>
      <c r="Q10" s="159"/>
      <c r="R10" s="159"/>
      <c r="S10" s="159"/>
      <c r="T10" s="50"/>
      <c r="U10" s="57"/>
      <c r="V10" s="49"/>
      <c r="W10" s="49"/>
    </row>
    <row r="11" spans="1:23" ht="12" customHeight="1">
      <c r="A11" s="160" t="s">
        <v>162</v>
      </c>
      <c r="B11" s="165"/>
      <c r="C11" s="162"/>
      <c r="D11" s="162"/>
      <c r="E11" s="171"/>
      <c r="F11" s="162"/>
      <c r="G11" s="167"/>
      <c r="H11" s="162"/>
      <c r="I11" s="162"/>
      <c r="J11" s="167"/>
      <c r="K11" s="161"/>
      <c r="L11" s="162"/>
      <c r="M11" s="162"/>
      <c r="N11" s="171"/>
      <c r="O11" s="162"/>
      <c r="P11" s="167"/>
      <c r="Q11" s="162"/>
      <c r="R11" s="162"/>
      <c r="S11" s="162"/>
      <c r="T11" s="50"/>
      <c r="U11" s="57"/>
      <c r="V11" s="49"/>
      <c r="W11" s="49"/>
    </row>
    <row r="12" spans="1:23" ht="12" customHeight="1">
      <c r="A12" s="157" t="s">
        <v>163</v>
      </c>
      <c r="B12" s="164"/>
      <c r="C12" s="159"/>
      <c r="D12" s="159"/>
      <c r="E12" s="170"/>
      <c r="F12" s="159"/>
      <c r="G12" s="166"/>
      <c r="H12" s="159"/>
      <c r="I12" s="159"/>
      <c r="J12" s="166"/>
      <c r="K12" s="158"/>
      <c r="L12" s="159"/>
      <c r="M12" s="159"/>
      <c r="N12" s="170"/>
      <c r="O12" s="159"/>
      <c r="P12" s="166"/>
      <c r="Q12" s="159"/>
      <c r="R12" s="159"/>
      <c r="S12" s="159"/>
      <c r="T12" s="50"/>
      <c r="U12" s="57"/>
      <c r="V12" s="49"/>
      <c r="W12" s="49"/>
    </row>
    <row r="13" spans="1:23" ht="12" customHeight="1">
      <c r="A13" s="157" t="s">
        <v>164</v>
      </c>
      <c r="B13" s="164"/>
      <c r="C13" s="159"/>
      <c r="D13" s="159"/>
      <c r="E13" s="170"/>
      <c r="F13" s="159"/>
      <c r="G13" s="166"/>
      <c r="H13" s="159"/>
      <c r="I13" s="159"/>
      <c r="J13" s="166"/>
      <c r="K13" s="158"/>
      <c r="L13" s="159"/>
      <c r="M13" s="159"/>
      <c r="N13" s="170"/>
      <c r="O13" s="159"/>
      <c r="P13" s="166"/>
      <c r="Q13" s="159"/>
      <c r="R13" s="159"/>
      <c r="S13" s="159"/>
      <c r="T13" s="50"/>
      <c r="U13" s="57"/>
      <c r="V13" s="49"/>
      <c r="W13" s="49"/>
    </row>
    <row r="14" spans="1:23" ht="12" customHeight="1">
      <c r="A14" s="160" t="s">
        <v>165</v>
      </c>
      <c r="B14" s="165"/>
      <c r="C14" s="162"/>
      <c r="D14" s="162"/>
      <c r="E14" s="171"/>
      <c r="F14" s="162"/>
      <c r="G14" s="167"/>
      <c r="H14" s="162"/>
      <c r="I14" s="162"/>
      <c r="J14" s="167"/>
      <c r="K14" s="161"/>
      <c r="L14" s="162"/>
      <c r="M14" s="162"/>
      <c r="N14" s="171"/>
      <c r="O14" s="162"/>
      <c r="P14" s="167"/>
      <c r="Q14" s="162"/>
      <c r="R14" s="162"/>
      <c r="S14" s="162"/>
      <c r="T14" s="50"/>
      <c r="U14" s="57"/>
      <c r="V14" s="49"/>
      <c r="W14" s="49"/>
    </row>
    <row r="15" spans="1:23" ht="12" customHeight="1">
      <c r="A15" s="157" t="s">
        <v>166</v>
      </c>
      <c r="B15" s="164"/>
      <c r="C15" s="159"/>
      <c r="D15" s="159"/>
      <c r="E15" s="170"/>
      <c r="F15" s="159"/>
      <c r="G15" s="166"/>
      <c r="H15" s="159"/>
      <c r="I15" s="159"/>
      <c r="J15" s="166"/>
      <c r="K15" s="158"/>
      <c r="L15" s="159"/>
      <c r="M15" s="159"/>
      <c r="N15" s="170"/>
      <c r="O15" s="159"/>
      <c r="P15" s="166"/>
      <c r="Q15" s="159"/>
      <c r="R15" s="159"/>
      <c r="S15" s="159"/>
      <c r="T15" s="50"/>
      <c r="U15" s="49"/>
      <c r="V15" s="49"/>
      <c r="W15" s="49"/>
    </row>
    <row r="16" spans="1:23" ht="12" customHeight="1">
      <c r="A16" s="157" t="s">
        <v>167</v>
      </c>
      <c r="B16" s="164"/>
      <c r="C16" s="159"/>
      <c r="D16" s="159"/>
      <c r="E16" s="170"/>
      <c r="F16" s="159"/>
      <c r="G16" s="166"/>
      <c r="H16" s="159"/>
      <c r="I16" s="159"/>
      <c r="J16" s="166"/>
      <c r="K16" s="158"/>
      <c r="L16" s="159"/>
      <c r="M16" s="159"/>
      <c r="N16" s="170"/>
      <c r="O16" s="159"/>
      <c r="P16" s="166"/>
      <c r="Q16" s="159"/>
      <c r="R16" s="159"/>
      <c r="S16" s="159"/>
      <c r="T16" s="50"/>
      <c r="U16" s="49"/>
      <c r="V16" s="49"/>
      <c r="W16" s="49"/>
    </row>
    <row r="17" spans="1:23" ht="12" customHeight="1">
      <c r="A17" s="160" t="s">
        <v>168</v>
      </c>
      <c r="B17" s="165"/>
      <c r="C17" s="162"/>
      <c r="D17" s="162"/>
      <c r="E17" s="171"/>
      <c r="F17" s="162"/>
      <c r="G17" s="167"/>
      <c r="H17" s="162"/>
      <c r="I17" s="162"/>
      <c r="J17" s="167"/>
      <c r="K17" s="161"/>
      <c r="L17" s="162"/>
      <c r="M17" s="162"/>
      <c r="N17" s="171"/>
      <c r="O17" s="162"/>
      <c r="P17" s="167"/>
      <c r="Q17" s="162"/>
      <c r="R17" s="162"/>
      <c r="S17" s="162"/>
      <c r="T17" s="50"/>
      <c r="U17" s="49"/>
      <c r="V17" s="49"/>
      <c r="W17" s="49"/>
    </row>
    <row r="18" spans="1:23" ht="12" customHeight="1">
      <c r="A18" s="157" t="s">
        <v>47</v>
      </c>
      <c r="B18" s="164">
        <f>SUM(B6:B8)</f>
        <v>1490.143217276956</v>
      </c>
      <c r="C18" s="158">
        <f>SUM(C6:C8)</f>
        <v>448.84921982283299</v>
      </c>
      <c r="D18" s="158">
        <f>SUM(D6:D8)</f>
        <v>1041.2939974541227</v>
      </c>
      <c r="E18" s="164">
        <f t="shared" ref="E18:J18" si="0">SUM(E6:E8)</f>
        <v>1833.8109020000002</v>
      </c>
      <c r="F18" s="158">
        <f t="shared" si="0"/>
        <v>36.476180999999997</v>
      </c>
      <c r="G18" s="168">
        <f>SUM(G6:G8)</f>
        <v>1797.3347210000002</v>
      </c>
      <c r="H18" s="158">
        <f t="shared" si="0"/>
        <v>28.087923</v>
      </c>
      <c r="I18" s="158">
        <f t="shared" si="0"/>
        <v>-11.536554555489914</v>
      </c>
      <c r="J18" s="168">
        <f t="shared" si="0"/>
        <v>2878.253196009613</v>
      </c>
      <c r="K18" s="158">
        <f>SUM(K6:K8)</f>
        <v>16370.632969448001</v>
      </c>
      <c r="L18" s="158">
        <f>SUM(L6:L8)</f>
        <v>4914.4061929973996</v>
      </c>
      <c r="M18" s="158">
        <f t="shared" ref="M18:S18" si="1">SUM(M6:M8)</f>
        <v>11456.2267764506</v>
      </c>
      <c r="N18" s="164">
        <f t="shared" si="1"/>
        <v>20005.652553</v>
      </c>
      <c r="O18" s="158">
        <f t="shared" si="1"/>
        <v>399.7670908739999</v>
      </c>
      <c r="P18" s="168">
        <f t="shared" si="1"/>
        <v>19605.885462126</v>
      </c>
      <c r="Q18" s="158">
        <f t="shared" si="1"/>
        <v>303.68624400000004</v>
      </c>
      <c r="R18" s="158">
        <f>SUM(R6:R8)</f>
        <v>-135.335566833294</v>
      </c>
      <c r="S18" s="158">
        <f t="shared" si="1"/>
        <v>31501.134049409895</v>
      </c>
    </row>
    <row r="19" spans="1:23" ht="12" customHeight="1">
      <c r="A19" s="157" t="s">
        <v>55</v>
      </c>
      <c r="B19" s="357">
        <f>SUM(B9:B11)</f>
        <v>0</v>
      </c>
      <c r="C19" s="358">
        <f>SUM(C9:C11)</f>
        <v>0</v>
      </c>
      <c r="D19" s="358">
        <f t="shared" ref="D19:J19" si="2">SUM(D9:D11)</f>
        <v>0</v>
      </c>
      <c r="E19" s="357">
        <f t="shared" si="2"/>
        <v>0</v>
      </c>
      <c r="F19" s="358">
        <f t="shared" si="2"/>
        <v>0</v>
      </c>
      <c r="G19" s="359">
        <f t="shared" si="2"/>
        <v>0</v>
      </c>
      <c r="H19" s="358">
        <f t="shared" si="2"/>
        <v>0</v>
      </c>
      <c r="I19" s="358">
        <f t="shared" si="2"/>
        <v>0</v>
      </c>
      <c r="J19" s="359">
        <f t="shared" si="2"/>
        <v>0</v>
      </c>
      <c r="K19" s="358">
        <f>SUM(K9:K11)</f>
        <v>0</v>
      </c>
      <c r="L19" s="358">
        <f t="shared" ref="L19:S19" si="3">SUM(L9:L11)</f>
        <v>0</v>
      </c>
      <c r="M19" s="358">
        <f t="shared" si="3"/>
        <v>0</v>
      </c>
      <c r="N19" s="357">
        <f t="shared" si="3"/>
        <v>0</v>
      </c>
      <c r="O19" s="358">
        <f>SUM(O9:O11)</f>
        <v>0</v>
      </c>
      <c r="P19" s="359">
        <f t="shared" si="3"/>
        <v>0</v>
      </c>
      <c r="Q19" s="358">
        <f t="shared" si="3"/>
        <v>0</v>
      </c>
      <c r="R19" s="358">
        <f t="shared" si="3"/>
        <v>0</v>
      </c>
      <c r="S19" s="358">
        <f t="shared" si="3"/>
        <v>0</v>
      </c>
    </row>
    <row r="20" spans="1:23" ht="12" customHeight="1">
      <c r="A20" s="157" t="s">
        <v>62</v>
      </c>
      <c r="B20" s="357">
        <f>SUM(B12:B14)</f>
        <v>0</v>
      </c>
      <c r="C20" s="358">
        <f>SUM(C12:C14)</f>
        <v>0</v>
      </c>
      <c r="D20" s="358">
        <f t="shared" ref="D20:J20" si="4">SUM(D12:D14)</f>
        <v>0</v>
      </c>
      <c r="E20" s="357">
        <f t="shared" si="4"/>
        <v>0</v>
      </c>
      <c r="F20" s="358">
        <f t="shared" si="4"/>
        <v>0</v>
      </c>
      <c r="G20" s="359">
        <f t="shared" si="4"/>
        <v>0</v>
      </c>
      <c r="H20" s="358">
        <f t="shared" si="4"/>
        <v>0</v>
      </c>
      <c r="I20" s="358">
        <f>SUM(I12:I14)</f>
        <v>0</v>
      </c>
      <c r="J20" s="359">
        <f t="shared" si="4"/>
        <v>0</v>
      </c>
      <c r="K20" s="358">
        <f>SUM(K12:K14)</f>
        <v>0</v>
      </c>
      <c r="L20" s="358">
        <f t="shared" ref="L20:S20" si="5">SUM(L12:L14)</f>
        <v>0</v>
      </c>
      <c r="M20" s="358">
        <f t="shared" si="5"/>
        <v>0</v>
      </c>
      <c r="N20" s="357">
        <f t="shared" si="5"/>
        <v>0</v>
      </c>
      <c r="O20" s="358">
        <f t="shared" si="5"/>
        <v>0</v>
      </c>
      <c r="P20" s="359">
        <f t="shared" si="5"/>
        <v>0</v>
      </c>
      <c r="Q20" s="358">
        <f t="shared" si="5"/>
        <v>0</v>
      </c>
      <c r="R20" s="358">
        <f t="shared" si="5"/>
        <v>0</v>
      </c>
      <c r="S20" s="358">
        <f t="shared" si="5"/>
        <v>0</v>
      </c>
    </row>
    <row r="21" spans="1:23" ht="12" customHeight="1">
      <c r="A21" s="160" t="s">
        <v>56</v>
      </c>
      <c r="B21" s="360">
        <f>SUM(B15:B17)</f>
        <v>0</v>
      </c>
      <c r="C21" s="361">
        <f>SUM(C15:C17)</f>
        <v>0</v>
      </c>
      <c r="D21" s="361">
        <f t="shared" ref="D21:J21" si="6">SUM(D15:D17)</f>
        <v>0</v>
      </c>
      <c r="E21" s="360">
        <f t="shared" si="6"/>
        <v>0</v>
      </c>
      <c r="F21" s="361">
        <f t="shared" si="6"/>
        <v>0</v>
      </c>
      <c r="G21" s="362">
        <f t="shared" si="6"/>
        <v>0</v>
      </c>
      <c r="H21" s="361">
        <f t="shared" si="6"/>
        <v>0</v>
      </c>
      <c r="I21" s="361">
        <f t="shared" si="6"/>
        <v>0</v>
      </c>
      <c r="J21" s="362">
        <f t="shared" si="6"/>
        <v>0</v>
      </c>
      <c r="K21" s="361">
        <f>SUM(K15:K17)</f>
        <v>0</v>
      </c>
      <c r="L21" s="361">
        <f t="shared" ref="L21:R21" si="7">SUM(L15:L17)</f>
        <v>0</v>
      </c>
      <c r="M21" s="361">
        <f t="shared" si="7"/>
        <v>0</v>
      </c>
      <c r="N21" s="360">
        <f t="shared" si="7"/>
        <v>0</v>
      </c>
      <c r="O21" s="361">
        <f t="shared" si="7"/>
        <v>0</v>
      </c>
      <c r="P21" s="362">
        <f t="shared" si="7"/>
        <v>0</v>
      </c>
      <c r="Q21" s="361">
        <f t="shared" si="7"/>
        <v>0</v>
      </c>
      <c r="R21" s="361">
        <f t="shared" si="7"/>
        <v>0</v>
      </c>
      <c r="S21" s="361">
        <f>SUM(S15:S17)</f>
        <v>0</v>
      </c>
    </row>
    <row r="22" spans="1:23" ht="12" customHeight="1">
      <c r="A22" s="157" t="s">
        <v>57</v>
      </c>
      <c r="B22" s="357">
        <f>SUM(B6:B11)</f>
        <v>1490.143217276956</v>
      </c>
      <c r="C22" s="358">
        <f>SUM(C6:C11)</f>
        <v>448.84921982283299</v>
      </c>
      <c r="D22" s="358">
        <f t="shared" ref="D22:J22" si="8">SUM(D6:D11)</f>
        <v>1041.2939974541227</v>
      </c>
      <c r="E22" s="357">
        <f t="shared" si="8"/>
        <v>1833.8109020000002</v>
      </c>
      <c r="F22" s="358">
        <f t="shared" si="8"/>
        <v>36.476180999999997</v>
      </c>
      <c r="G22" s="359">
        <f t="shared" si="8"/>
        <v>1797.3347210000002</v>
      </c>
      <c r="H22" s="358">
        <f t="shared" si="8"/>
        <v>28.087923</v>
      </c>
      <c r="I22" s="358">
        <f t="shared" si="8"/>
        <v>-11.536554555489914</v>
      </c>
      <c r="J22" s="359">
        <f t="shared" si="8"/>
        <v>2878.253196009613</v>
      </c>
      <c r="K22" s="358">
        <f>SUM(K6:K11)</f>
        <v>16370.632969448001</v>
      </c>
      <c r="L22" s="358">
        <f t="shared" ref="L22:S22" si="9">SUM(L6:L11)</f>
        <v>4914.4061929973996</v>
      </c>
      <c r="M22" s="358">
        <f t="shared" si="9"/>
        <v>11456.2267764506</v>
      </c>
      <c r="N22" s="357">
        <f t="shared" si="9"/>
        <v>20005.652553</v>
      </c>
      <c r="O22" s="358">
        <f t="shared" si="9"/>
        <v>399.7670908739999</v>
      </c>
      <c r="P22" s="359">
        <f t="shared" si="9"/>
        <v>19605.885462126</v>
      </c>
      <c r="Q22" s="358">
        <f t="shared" si="9"/>
        <v>303.68624400000004</v>
      </c>
      <c r="R22" s="358">
        <f t="shared" si="9"/>
        <v>-135.335566833294</v>
      </c>
      <c r="S22" s="358">
        <f t="shared" si="9"/>
        <v>31501.134049409895</v>
      </c>
    </row>
    <row r="23" spans="1:23" ht="12" customHeight="1">
      <c r="A23" s="160" t="s">
        <v>58</v>
      </c>
      <c r="B23" s="360">
        <f>SUM(B12:B17)</f>
        <v>0</v>
      </c>
      <c r="C23" s="361">
        <f>SUM(C12:C17)</f>
        <v>0</v>
      </c>
      <c r="D23" s="361">
        <f t="shared" ref="D23:J23" si="10">SUM(D12:D17)</f>
        <v>0</v>
      </c>
      <c r="E23" s="360">
        <f t="shared" si="10"/>
        <v>0</v>
      </c>
      <c r="F23" s="361">
        <f t="shared" si="10"/>
        <v>0</v>
      </c>
      <c r="G23" s="362">
        <f t="shared" si="10"/>
        <v>0</v>
      </c>
      <c r="H23" s="361">
        <f t="shared" si="10"/>
        <v>0</v>
      </c>
      <c r="I23" s="361">
        <f t="shared" si="10"/>
        <v>0</v>
      </c>
      <c r="J23" s="362">
        <f t="shared" si="10"/>
        <v>0</v>
      </c>
      <c r="K23" s="361">
        <f>SUM(K12:K17)</f>
        <v>0</v>
      </c>
      <c r="L23" s="361">
        <f t="shared" ref="L23:S23" si="11">SUM(L12:L17)</f>
        <v>0</v>
      </c>
      <c r="M23" s="361">
        <f t="shared" si="11"/>
        <v>0</v>
      </c>
      <c r="N23" s="360">
        <f t="shared" si="11"/>
        <v>0</v>
      </c>
      <c r="O23" s="361">
        <f t="shared" si="11"/>
        <v>0</v>
      </c>
      <c r="P23" s="362">
        <f t="shared" si="11"/>
        <v>0</v>
      </c>
      <c r="Q23" s="361">
        <f t="shared" si="11"/>
        <v>0</v>
      </c>
      <c r="R23" s="361">
        <f t="shared" si="11"/>
        <v>0</v>
      </c>
      <c r="S23" s="361">
        <f t="shared" si="11"/>
        <v>0</v>
      </c>
    </row>
    <row r="24" spans="1:23" ht="12" customHeight="1">
      <c r="A24" s="163" t="s">
        <v>169</v>
      </c>
      <c r="B24" s="363">
        <f>SUM(B6:B17)</f>
        <v>1490.143217276956</v>
      </c>
      <c r="C24" s="364">
        <f>SUM(C6:C17)</f>
        <v>448.84921982283299</v>
      </c>
      <c r="D24" s="364">
        <f t="shared" ref="D24:J24" si="12">SUM(D6:D17)</f>
        <v>1041.2939974541227</v>
      </c>
      <c r="E24" s="363">
        <f t="shared" si="12"/>
        <v>1833.8109020000002</v>
      </c>
      <c r="F24" s="364">
        <f t="shared" si="12"/>
        <v>36.476180999999997</v>
      </c>
      <c r="G24" s="365">
        <f t="shared" si="12"/>
        <v>1797.3347210000002</v>
      </c>
      <c r="H24" s="364">
        <f t="shared" si="12"/>
        <v>28.087923</v>
      </c>
      <c r="I24" s="364">
        <f t="shared" si="12"/>
        <v>-11.536554555489914</v>
      </c>
      <c r="J24" s="365">
        <f t="shared" si="12"/>
        <v>2878.253196009613</v>
      </c>
      <c r="K24" s="364">
        <f>SUM(K6:K17)</f>
        <v>16370.632969448001</v>
      </c>
      <c r="L24" s="364">
        <f t="shared" ref="L24:S24" si="13">SUM(L6:L17)</f>
        <v>4914.4061929973996</v>
      </c>
      <c r="M24" s="364">
        <f t="shared" si="13"/>
        <v>11456.2267764506</v>
      </c>
      <c r="N24" s="363">
        <f t="shared" si="13"/>
        <v>20005.652553</v>
      </c>
      <c r="O24" s="364">
        <f t="shared" si="13"/>
        <v>399.7670908739999</v>
      </c>
      <c r="P24" s="365">
        <f t="shared" si="13"/>
        <v>19605.885462126</v>
      </c>
      <c r="Q24" s="364">
        <f t="shared" si="13"/>
        <v>303.68624400000004</v>
      </c>
      <c r="R24" s="364">
        <f t="shared" si="13"/>
        <v>-135.335566833294</v>
      </c>
      <c r="S24" s="364">
        <f t="shared" si="13"/>
        <v>31501.134049409895</v>
      </c>
    </row>
    <row r="25" spans="1:23" ht="8.1" customHeight="1"/>
    <row r="26" spans="1:23" ht="13.5" customHeight="1">
      <c r="A26" s="422" t="s">
        <v>234</v>
      </c>
      <c r="B26" s="422"/>
      <c r="C26" s="422"/>
      <c r="D26" s="422"/>
      <c r="E26" s="422"/>
      <c r="F26" s="422"/>
      <c r="G26" s="422"/>
      <c r="H26" s="422"/>
      <c r="I26" s="422"/>
      <c r="J26" s="52"/>
      <c r="K26" s="422" t="s">
        <v>235</v>
      </c>
      <c r="L26" s="422"/>
      <c r="M26" s="422"/>
      <c r="N26" s="422"/>
      <c r="O26" s="422"/>
      <c r="P26" s="422"/>
      <c r="Q26" s="422"/>
      <c r="R26" s="422"/>
      <c r="S26" s="422"/>
      <c r="V26" s="347"/>
      <c r="W26" s="347"/>
    </row>
    <row r="27" spans="1:23" ht="8.1" customHeight="1">
      <c r="D27" s="53"/>
      <c r="E27" s="54" t="s">
        <v>193</v>
      </c>
      <c r="F27" s="54" t="s">
        <v>194</v>
      </c>
      <c r="G27" s="55"/>
      <c r="H27" s="55"/>
      <c r="L27" s="55"/>
      <c r="M27" s="54"/>
      <c r="N27" s="54" t="s">
        <v>195</v>
      </c>
      <c r="O27" s="53" t="s">
        <v>196</v>
      </c>
    </row>
    <row r="28" spans="1:23" ht="8.1" customHeight="1">
      <c r="D28" s="53" t="str">
        <f>A6</f>
        <v>Leden</v>
      </c>
      <c r="E28" s="54">
        <f>B6</f>
        <v>436.35123214677395</v>
      </c>
      <c r="F28" s="54">
        <f>C6*-1</f>
        <v>-203.199323278186</v>
      </c>
      <c r="G28" s="55"/>
      <c r="L28" s="55"/>
      <c r="M28" s="54" t="str">
        <f>A6</f>
        <v>Leden</v>
      </c>
      <c r="N28" s="54">
        <f>E6</f>
        <v>990.88952500000016</v>
      </c>
      <c r="O28" s="54">
        <f>F6*-1</f>
        <v>-4.1741289999999998</v>
      </c>
    </row>
    <row r="29" spans="1:23" ht="8.1" customHeight="1">
      <c r="D29" s="53" t="str">
        <f t="shared" ref="D29:D39" si="14">A7</f>
        <v>Únor</v>
      </c>
      <c r="E29" s="54">
        <f t="shared" ref="E29:E39" si="15">B7</f>
        <v>394.129496999087</v>
      </c>
      <c r="F29" s="54">
        <f t="shared" ref="F29:F39" si="16">C7*-1</f>
        <v>-170.106619433123</v>
      </c>
      <c r="G29" s="55"/>
      <c r="L29" s="55"/>
      <c r="M29" s="54" t="str">
        <f t="shared" ref="M29:M39" si="17">A7</f>
        <v>Únor</v>
      </c>
      <c r="N29" s="54">
        <f t="shared" ref="N29:N39" si="18">E7</f>
        <v>721.53760799999998</v>
      </c>
      <c r="O29" s="54">
        <f t="shared" ref="O29:O39" si="19">F7*-1</f>
        <v>-31.317238999999997</v>
      </c>
    </row>
    <row r="30" spans="1:23" ht="8.1" customHeight="1">
      <c r="D30" s="53" t="str">
        <f t="shared" si="14"/>
        <v>Březen</v>
      </c>
      <c r="E30" s="54">
        <f t="shared" si="15"/>
        <v>659.66248813109496</v>
      </c>
      <c r="F30" s="54">
        <f t="shared" si="16"/>
        <v>-75.543277111524006</v>
      </c>
      <c r="G30" s="55"/>
      <c r="L30" s="55"/>
      <c r="M30" s="54" t="str">
        <f t="shared" si="17"/>
        <v>Březen</v>
      </c>
      <c r="N30" s="54">
        <f t="shared" si="18"/>
        <v>121.383769</v>
      </c>
      <c r="O30" s="54">
        <f t="shared" si="19"/>
        <v>-0.98481300000000005</v>
      </c>
    </row>
    <row r="31" spans="1:23" ht="8.1" customHeight="1">
      <c r="D31" s="53" t="str">
        <f t="shared" si="14"/>
        <v>Duben</v>
      </c>
      <c r="E31" s="54">
        <f t="shared" si="15"/>
        <v>0</v>
      </c>
      <c r="F31" s="54">
        <f t="shared" si="16"/>
        <v>0</v>
      </c>
      <c r="G31" s="55"/>
      <c r="L31" s="55"/>
      <c r="M31" s="54" t="str">
        <f t="shared" si="17"/>
        <v>Duben</v>
      </c>
      <c r="N31" s="54">
        <f t="shared" si="18"/>
        <v>0</v>
      </c>
      <c r="O31" s="54">
        <f t="shared" si="19"/>
        <v>0</v>
      </c>
    </row>
    <row r="32" spans="1:23" ht="8.1" customHeight="1">
      <c r="D32" s="53" t="str">
        <f t="shared" si="14"/>
        <v>Květen</v>
      </c>
      <c r="E32" s="54">
        <f t="shared" si="15"/>
        <v>0</v>
      </c>
      <c r="F32" s="54">
        <f t="shared" si="16"/>
        <v>0</v>
      </c>
      <c r="G32" s="55"/>
      <c r="L32" s="55"/>
      <c r="M32" s="54" t="str">
        <f t="shared" si="17"/>
        <v>Květen</v>
      </c>
      <c r="N32" s="54">
        <f t="shared" si="18"/>
        <v>0</v>
      </c>
      <c r="O32" s="54">
        <f t="shared" si="19"/>
        <v>0</v>
      </c>
    </row>
    <row r="33" spans="4:15" ht="8.1" customHeight="1">
      <c r="D33" s="53" t="str">
        <f t="shared" si="14"/>
        <v>Červen</v>
      </c>
      <c r="E33" s="54">
        <f t="shared" si="15"/>
        <v>0</v>
      </c>
      <c r="F33" s="54">
        <f t="shared" si="16"/>
        <v>0</v>
      </c>
      <c r="G33" s="55"/>
      <c r="L33" s="55"/>
      <c r="M33" s="54" t="str">
        <f t="shared" si="17"/>
        <v>Červen</v>
      </c>
      <c r="N33" s="54">
        <f t="shared" si="18"/>
        <v>0</v>
      </c>
      <c r="O33" s="54">
        <f t="shared" si="19"/>
        <v>0</v>
      </c>
    </row>
    <row r="34" spans="4:15" ht="8.1" customHeight="1">
      <c r="D34" s="53" t="str">
        <f t="shared" si="14"/>
        <v>Červenec</v>
      </c>
      <c r="E34" s="54">
        <f t="shared" si="15"/>
        <v>0</v>
      </c>
      <c r="F34" s="54">
        <f t="shared" si="16"/>
        <v>0</v>
      </c>
      <c r="G34" s="55"/>
      <c r="L34" s="55"/>
      <c r="M34" s="54" t="str">
        <f t="shared" si="17"/>
        <v>Červenec</v>
      </c>
      <c r="N34" s="54">
        <f t="shared" si="18"/>
        <v>0</v>
      </c>
      <c r="O34" s="54">
        <f t="shared" si="19"/>
        <v>0</v>
      </c>
    </row>
    <row r="35" spans="4:15" ht="8.1" customHeight="1">
      <c r="D35" s="53" t="str">
        <f t="shared" si="14"/>
        <v>Srpen</v>
      </c>
      <c r="E35" s="54">
        <f t="shared" si="15"/>
        <v>0</v>
      </c>
      <c r="F35" s="54">
        <f t="shared" si="16"/>
        <v>0</v>
      </c>
      <c r="G35" s="55"/>
      <c r="L35" s="55"/>
      <c r="M35" s="54" t="str">
        <f t="shared" si="17"/>
        <v>Srpen</v>
      </c>
      <c r="N35" s="54">
        <f t="shared" si="18"/>
        <v>0</v>
      </c>
      <c r="O35" s="54">
        <f t="shared" si="19"/>
        <v>0</v>
      </c>
    </row>
    <row r="36" spans="4:15" ht="8.1" customHeight="1">
      <c r="D36" s="53" t="str">
        <f t="shared" si="14"/>
        <v>Září</v>
      </c>
      <c r="E36" s="54">
        <f t="shared" si="15"/>
        <v>0</v>
      </c>
      <c r="F36" s="54">
        <f t="shared" si="16"/>
        <v>0</v>
      </c>
      <c r="G36" s="55"/>
      <c r="L36" s="55"/>
      <c r="M36" s="54" t="str">
        <f t="shared" si="17"/>
        <v>Září</v>
      </c>
      <c r="N36" s="54">
        <f t="shared" si="18"/>
        <v>0</v>
      </c>
      <c r="O36" s="54">
        <f t="shared" si="19"/>
        <v>0</v>
      </c>
    </row>
    <row r="37" spans="4:15" ht="8.1" customHeight="1">
      <c r="D37" s="53" t="str">
        <f t="shared" si="14"/>
        <v>Říjen</v>
      </c>
      <c r="E37" s="54">
        <f t="shared" si="15"/>
        <v>0</v>
      </c>
      <c r="F37" s="54">
        <f t="shared" si="16"/>
        <v>0</v>
      </c>
      <c r="G37" s="55"/>
      <c r="L37" s="55"/>
      <c r="M37" s="54" t="str">
        <f t="shared" si="17"/>
        <v>Říjen</v>
      </c>
      <c r="N37" s="54">
        <f t="shared" si="18"/>
        <v>0</v>
      </c>
      <c r="O37" s="54">
        <f t="shared" si="19"/>
        <v>0</v>
      </c>
    </row>
    <row r="38" spans="4:15" ht="8.1" customHeight="1">
      <c r="D38" s="53" t="str">
        <f t="shared" si="14"/>
        <v>Listopad</v>
      </c>
      <c r="E38" s="54">
        <f t="shared" si="15"/>
        <v>0</v>
      </c>
      <c r="F38" s="54">
        <f t="shared" si="16"/>
        <v>0</v>
      </c>
      <c r="G38" s="55"/>
      <c r="L38" s="55"/>
      <c r="M38" s="54" t="str">
        <f t="shared" si="17"/>
        <v>Listopad</v>
      </c>
      <c r="N38" s="54">
        <f t="shared" si="18"/>
        <v>0</v>
      </c>
      <c r="O38" s="54">
        <f t="shared" si="19"/>
        <v>0</v>
      </c>
    </row>
    <row r="39" spans="4:15" ht="8.1" customHeight="1">
      <c r="D39" s="53" t="str">
        <f t="shared" si="14"/>
        <v>Prosinec</v>
      </c>
      <c r="E39" s="54">
        <f t="shared" si="15"/>
        <v>0</v>
      </c>
      <c r="F39" s="54">
        <f t="shared" si="16"/>
        <v>0</v>
      </c>
      <c r="M39" s="54" t="str">
        <f t="shared" si="17"/>
        <v>Prosinec</v>
      </c>
      <c r="N39" s="54">
        <f t="shared" si="18"/>
        <v>0</v>
      </c>
      <c r="O39" s="54">
        <f t="shared" si="19"/>
        <v>0</v>
      </c>
    </row>
    <row r="40" spans="4:15" ht="12" customHeight="1">
      <c r="M40" s="55"/>
    </row>
    <row r="41" spans="4:15" ht="12" customHeight="1"/>
    <row r="42" spans="4:15" ht="12" customHeight="1"/>
    <row r="43" spans="4:15" ht="12" customHeight="1"/>
  </sheetData>
  <mergeCells count="16">
    <mergeCell ref="K4:M4"/>
    <mergeCell ref="A26:I26"/>
    <mergeCell ref="K26:S26"/>
    <mergeCell ref="B2:S2"/>
    <mergeCell ref="A1:S1"/>
    <mergeCell ref="N4:P4"/>
    <mergeCell ref="H4:H5"/>
    <mergeCell ref="I4:I5"/>
    <mergeCell ref="J4:J5"/>
    <mergeCell ref="B3:J3"/>
    <mergeCell ref="K3:S3"/>
    <mergeCell ref="Q4:Q5"/>
    <mergeCell ref="R4:R5"/>
    <mergeCell ref="S4:S5"/>
    <mergeCell ref="B4:D4"/>
    <mergeCell ref="E4:G4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1 B23:S23 C22:S22 C18 E18:F18 H18:K18 M18:Q18 C19:N19 P19:S19 S18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AD56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140625" style="4" customWidth="1"/>
    <col min="2" max="3" width="7.7109375" style="4" customWidth="1"/>
    <col min="4" max="4" width="7.28515625" style="4" customWidth="1"/>
    <col min="5" max="6" width="7.7109375" style="4" customWidth="1"/>
    <col min="7" max="7" width="7.42578125" style="4" customWidth="1"/>
    <col min="8" max="8" width="9.140625" style="4" customWidth="1"/>
    <col min="9" max="12" width="7.7109375" style="4" customWidth="1"/>
    <col min="13" max="13" width="9" style="4" customWidth="1"/>
    <col min="14" max="18" width="4.7109375" style="4" customWidth="1"/>
    <col min="19" max="20" width="6.7109375" style="4" customWidth="1"/>
    <col min="21" max="259" width="9.140625" style="4"/>
    <col min="260" max="272" width="10.7109375" style="4" customWidth="1"/>
    <col min="273" max="515" width="9.140625" style="4"/>
    <col min="516" max="528" width="10.7109375" style="4" customWidth="1"/>
    <col min="529" max="771" width="9.140625" style="4"/>
    <col min="772" max="784" width="10.7109375" style="4" customWidth="1"/>
    <col min="785" max="1027" width="9.140625" style="4"/>
    <col min="1028" max="1040" width="10.7109375" style="4" customWidth="1"/>
    <col min="1041" max="1283" width="9.140625" style="4"/>
    <col min="1284" max="1296" width="10.7109375" style="4" customWidth="1"/>
    <col min="1297" max="1539" width="9.140625" style="4"/>
    <col min="1540" max="1552" width="10.7109375" style="4" customWidth="1"/>
    <col min="1553" max="1795" width="9.140625" style="4"/>
    <col min="1796" max="1808" width="10.7109375" style="4" customWidth="1"/>
    <col min="1809" max="2051" width="9.140625" style="4"/>
    <col min="2052" max="2064" width="10.7109375" style="4" customWidth="1"/>
    <col min="2065" max="2307" width="9.140625" style="4"/>
    <col min="2308" max="2320" width="10.7109375" style="4" customWidth="1"/>
    <col min="2321" max="2563" width="9.140625" style="4"/>
    <col min="2564" max="2576" width="10.7109375" style="4" customWidth="1"/>
    <col min="2577" max="2819" width="9.140625" style="4"/>
    <col min="2820" max="2832" width="10.7109375" style="4" customWidth="1"/>
    <col min="2833" max="3075" width="9.140625" style="4"/>
    <col min="3076" max="3088" width="10.7109375" style="4" customWidth="1"/>
    <col min="3089" max="3331" width="9.140625" style="4"/>
    <col min="3332" max="3344" width="10.7109375" style="4" customWidth="1"/>
    <col min="3345" max="3587" width="9.140625" style="4"/>
    <col min="3588" max="3600" width="10.7109375" style="4" customWidth="1"/>
    <col min="3601" max="3843" width="9.140625" style="4"/>
    <col min="3844" max="3856" width="10.7109375" style="4" customWidth="1"/>
    <col min="3857" max="4099" width="9.140625" style="4"/>
    <col min="4100" max="4112" width="10.7109375" style="4" customWidth="1"/>
    <col min="4113" max="4355" width="9.140625" style="4"/>
    <col min="4356" max="4368" width="10.7109375" style="4" customWidth="1"/>
    <col min="4369" max="4611" width="9.140625" style="4"/>
    <col min="4612" max="4624" width="10.7109375" style="4" customWidth="1"/>
    <col min="4625" max="4867" width="9.140625" style="4"/>
    <col min="4868" max="4880" width="10.7109375" style="4" customWidth="1"/>
    <col min="4881" max="5123" width="9.140625" style="4"/>
    <col min="5124" max="5136" width="10.7109375" style="4" customWidth="1"/>
    <col min="5137" max="5379" width="9.140625" style="4"/>
    <col min="5380" max="5392" width="10.7109375" style="4" customWidth="1"/>
    <col min="5393" max="5635" width="9.140625" style="4"/>
    <col min="5636" max="5648" width="10.7109375" style="4" customWidth="1"/>
    <col min="5649" max="5891" width="9.140625" style="4"/>
    <col min="5892" max="5904" width="10.7109375" style="4" customWidth="1"/>
    <col min="5905" max="6147" width="9.140625" style="4"/>
    <col min="6148" max="6160" width="10.7109375" style="4" customWidth="1"/>
    <col min="6161" max="6403" width="9.140625" style="4"/>
    <col min="6404" max="6416" width="10.7109375" style="4" customWidth="1"/>
    <col min="6417" max="6659" width="9.140625" style="4"/>
    <col min="6660" max="6672" width="10.7109375" style="4" customWidth="1"/>
    <col min="6673" max="6915" width="9.140625" style="4"/>
    <col min="6916" max="6928" width="10.7109375" style="4" customWidth="1"/>
    <col min="6929" max="7171" width="9.140625" style="4"/>
    <col min="7172" max="7184" width="10.7109375" style="4" customWidth="1"/>
    <col min="7185" max="7427" width="9.140625" style="4"/>
    <col min="7428" max="7440" width="10.7109375" style="4" customWidth="1"/>
    <col min="7441" max="7683" width="9.140625" style="4"/>
    <col min="7684" max="7696" width="10.7109375" style="4" customWidth="1"/>
    <col min="7697" max="7939" width="9.140625" style="4"/>
    <col min="7940" max="7952" width="10.7109375" style="4" customWidth="1"/>
    <col min="7953" max="8195" width="9.140625" style="4"/>
    <col min="8196" max="8208" width="10.7109375" style="4" customWidth="1"/>
    <col min="8209" max="8451" width="9.140625" style="4"/>
    <col min="8452" max="8464" width="10.7109375" style="4" customWidth="1"/>
    <col min="8465" max="8707" width="9.140625" style="4"/>
    <col min="8708" max="8720" width="10.7109375" style="4" customWidth="1"/>
    <col min="8721" max="8963" width="9.140625" style="4"/>
    <col min="8964" max="8976" width="10.7109375" style="4" customWidth="1"/>
    <col min="8977" max="9219" width="9.140625" style="4"/>
    <col min="9220" max="9232" width="10.7109375" style="4" customWidth="1"/>
    <col min="9233" max="9475" width="9.140625" style="4"/>
    <col min="9476" max="9488" width="10.7109375" style="4" customWidth="1"/>
    <col min="9489" max="9731" width="9.140625" style="4"/>
    <col min="9732" max="9744" width="10.7109375" style="4" customWidth="1"/>
    <col min="9745" max="9987" width="9.140625" style="4"/>
    <col min="9988" max="10000" width="10.7109375" style="4" customWidth="1"/>
    <col min="10001" max="10243" width="9.140625" style="4"/>
    <col min="10244" max="10256" width="10.7109375" style="4" customWidth="1"/>
    <col min="10257" max="10499" width="9.140625" style="4"/>
    <col min="10500" max="10512" width="10.7109375" style="4" customWidth="1"/>
    <col min="10513" max="10755" width="9.140625" style="4"/>
    <col min="10756" max="10768" width="10.7109375" style="4" customWidth="1"/>
    <col min="10769" max="11011" width="9.140625" style="4"/>
    <col min="11012" max="11024" width="10.7109375" style="4" customWidth="1"/>
    <col min="11025" max="11267" width="9.140625" style="4"/>
    <col min="11268" max="11280" width="10.7109375" style="4" customWidth="1"/>
    <col min="11281" max="11523" width="9.140625" style="4"/>
    <col min="11524" max="11536" width="10.7109375" style="4" customWidth="1"/>
    <col min="11537" max="11779" width="9.140625" style="4"/>
    <col min="11780" max="11792" width="10.7109375" style="4" customWidth="1"/>
    <col min="11793" max="12035" width="9.140625" style="4"/>
    <col min="12036" max="12048" width="10.7109375" style="4" customWidth="1"/>
    <col min="12049" max="12291" width="9.140625" style="4"/>
    <col min="12292" max="12304" width="10.7109375" style="4" customWidth="1"/>
    <col min="12305" max="12547" width="9.140625" style="4"/>
    <col min="12548" max="12560" width="10.7109375" style="4" customWidth="1"/>
    <col min="12561" max="12803" width="9.140625" style="4"/>
    <col min="12804" max="12816" width="10.7109375" style="4" customWidth="1"/>
    <col min="12817" max="13059" width="9.140625" style="4"/>
    <col min="13060" max="13072" width="10.7109375" style="4" customWidth="1"/>
    <col min="13073" max="13315" width="9.140625" style="4"/>
    <col min="13316" max="13328" width="10.7109375" style="4" customWidth="1"/>
    <col min="13329" max="13571" width="9.140625" style="4"/>
    <col min="13572" max="13584" width="10.7109375" style="4" customWidth="1"/>
    <col min="13585" max="13827" width="9.140625" style="4"/>
    <col min="13828" max="13840" width="10.7109375" style="4" customWidth="1"/>
    <col min="13841" max="14083" width="9.140625" style="4"/>
    <col min="14084" max="14096" width="10.7109375" style="4" customWidth="1"/>
    <col min="14097" max="14339" width="9.140625" style="4"/>
    <col min="14340" max="14352" width="10.7109375" style="4" customWidth="1"/>
    <col min="14353" max="14595" width="9.140625" style="4"/>
    <col min="14596" max="14608" width="10.7109375" style="4" customWidth="1"/>
    <col min="14609" max="14851" width="9.140625" style="4"/>
    <col min="14852" max="14864" width="10.7109375" style="4" customWidth="1"/>
    <col min="14865" max="15107" width="9.140625" style="4"/>
    <col min="15108" max="15120" width="10.7109375" style="4" customWidth="1"/>
    <col min="15121" max="15363" width="9.140625" style="4"/>
    <col min="15364" max="15376" width="10.7109375" style="4" customWidth="1"/>
    <col min="15377" max="15619" width="9.140625" style="4"/>
    <col min="15620" max="15632" width="10.7109375" style="4" customWidth="1"/>
    <col min="15633" max="15875" width="9.140625" style="4"/>
    <col min="15876" max="15888" width="10.7109375" style="4" customWidth="1"/>
    <col min="15889" max="16131" width="9.140625" style="4"/>
    <col min="16132" max="16144" width="10.7109375" style="4" customWidth="1"/>
    <col min="16145" max="16384" width="9.140625" style="4"/>
  </cols>
  <sheetData>
    <row r="1" spans="1:30" ht="20.25">
      <c r="A1" s="38" t="s">
        <v>274</v>
      </c>
    </row>
    <row r="2" spans="1:30" ht="18">
      <c r="A2" s="339" t="s">
        <v>280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30" ht="6" customHeight="1">
      <c r="A3" s="186"/>
      <c r="B3" s="187"/>
      <c r="C3" s="187"/>
      <c r="D3" s="187"/>
      <c r="E3" s="187"/>
      <c r="F3" s="187"/>
      <c r="G3" s="187"/>
      <c r="H3" s="187"/>
      <c r="I3" s="187"/>
      <c r="J3" s="187"/>
      <c r="K3" s="188"/>
      <c r="L3" s="187"/>
      <c r="M3" s="187"/>
      <c r="N3" s="187"/>
      <c r="O3" s="187"/>
      <c r="P3" s="187"/>
      <c r="Q3" s="187"/>
      <c r="R3" s="187"/>
    </row>
    <row r="4" spans="1:30" ht="15.95" customHeight="1">
      <c r="A4" s="185">
        <f>'3.1'!A4</f>
        <v>2026</v>
      </c>
      <c r="B4" s="431" t="s">
        <v>246</v>
      </c>
      <c r="C4" s="437"/>
      <c r="D4" s="437"/>
      <c r="E4" s="437"/>
      <c r="F4" s="437"/>
      <c r="G4" s="437"/>
      <c r="H4" s="433"/>
      <c r="I4" s="431" t="s">
        <v>206</v>
      </c>
      <c r="J4" s="437"/>
      <c r="K4" s="437"/>
      <c r="L4" s="437"/>
      <c r="M4" s="437"/>
      <c r="N4" s="431" t="s">
        <v>218</v>
      </c>
      <c r="O4" s="437"/>
      <c r="P4" s="437"/>
      <c r="Q4" s="437"/>
      <c r="R4" s="433"/>
      <c r="S4" s="208" t="s">
        <v>246</v>
      </c>
      <c r="T4" s="208" t="s">
        <v>206</v>
      </c>
    </row>
    <row r="5" spans="1:30" ht="36.75" customHeight="1">
      <c r="A5" s="197"/>
      <c r="B5" s="436" t="s">
        <v>152</v>
      </c>
      <c r="C5" s="428"/>
      <c r="D5" s="428"/>
      <c r="E5" s="428" t="s">
        <v>153</v>
      </c>
      <c r="F5" s="428"/>
      <c r="G5" s="428"/>
      <c r="H5" s="178" t="s">
        <v>150</v>
      </c>
      <c r="I5" s="436" t="s">
        <v>152</v>
      </c>
      <c r="J5" s="428"/>
      <c r="K5" s="428" t="s">
        <v>153</v>
      </c>
      <c r="L5" s="428"/>
      <c r="M5" s="177" t="s">
        <v>150</v>
      </c>
      <c r="N5" s="436" t="s">
        <v>249</v>
      </c>
      <c r="O5" s="428"/>
      <c r="P5" s="428"/>
      <c r="Q5" s="428"/>
      <c r="R5" s="430"/>
      <c r="S5" s="427" t="s">
        <v>151</v>
      </c>
      <c r="T5" s="427"/>
    </row>
    <row r="6" spans="1:30" ht="44.25" customHeight="1">
      <c r="A6" s="204"/>
      <c r="B6" s="210">
        <f>A4</f>
        <v>2026</v>
      </c>
      <c r="C6" s="211">
        <f>B6-1</f>
        <v>2025</v>
      </c>
      <c r="D6" s="175" t="s">
        <v>250</v>
      </c>
      <c r="E6" s="211">
        <f>B6</f>
        <v>2026</v>
      </c>
      <c r="F6" s="211">
        <f>C6</f>
        <v>2025</v>
      </c>
      <c r="G6" s="175" t="s">
        <v>251</v>
      </c>
      <c r="H6" s="212">
        <f>B6</f>
        <v>2026</v>
      </c>
      <c r="I6" s="210">
        <f>B6</f>
        <v>2026</v>
      </c>
      <c r="J6" s="211">
        <f>C6</f>
        <v>2025</v>
      </c>
      <c r="K6" s="211">
        <f>B6</f>
        <v>2026</v>
      </c>
      <c r="L6" s="211">
        <f>C6</f>
        <v>2025</v>
      </c>
      <c r="M6" s="211">
        <f>B6</f>
        <v>2026</v>
      </c>
      <c r="N6" s="205" t="s">
        <v>315</v>
      </c>
      <c r="O6" s="206" t="s">
        <v>316</v>
      </c>
      <c r="P6" s="206" t="s">
        <v>317</v>
      </c>
      <c r="Q6" s="206" t="s">
        <v>318</v>
      </c>
      <c r="R6" s="207" t="s">
        <v>319</v>
      </c>
      <c r="S6" s="428"/>
      <c r="T6" s="428"/>
    </row>
    <row r="7" spans="1:30" ht="12" customHeight="1">
      <c r="A7" s="157" t="s">
        <v>157</v>
      </c>
      <c r="B7" s="164">
        <v>1232.7041458701813</v>
      </c>
      <c r="C7" s="158">
        <v>1044.1231458692557</v>
      </c>
      <c r="D7" s="191">
        <v>0.18061183754711965</v>
      </c>
      <c r="E7" s="159">
        <v>1171.2408335837235</v>
      </c>
      <c r="F7" s="159">
        <v>1108.1088840000853</v>
      </c>
      <c r="G7" s="191">
        <v>5.6972695098105028E-2</v>
      </c>
      <c r="H7" s="166">
        <v>1150</v>
      </c>
      <c r="I7" s="170">
        <v>13497.602212775062</v>
      </c>
      <c r="J7" s="159">
        <v>11353.759200005048</v>
      </c>
      <c r="K7" s="159">
        <v>12824.604281599495</v>
      </c>
      <c r="L7" s="158">
        <v>12049.537917147853</v>
      </c>
      <c r="M7" s="158">
        <v>12650</v>
      </c>
      <c r="N7" s="164">
        <v>-2.7806451612903227</v>
      </c>
      <c r="O7" s="158">
        <v>1.7</v>
      </c>
      <c r="P7" s="158">
        <v>-7.8</v>
      </c>
      <c r="Q7" s="158">
        <v>-1.1741935483870967</v>
      </c>
      <c r="R7" s="168">
        <v>-1.606451612903226</v>
      </c>
      <c r="S7" s="189">
        <v>132.48778518070321</v>
      </c>
      <c r="T7" s="189">
        <v>1454.0312350000002</v>
      </c>
      <c r="U7" s="49"/>
      <c r="V7" s="350"/>
      <c r="W7" s="350"/>
      <c r="X7" s="350"/>
      <c r="Y7" s="350"/>
      <c r="Z7" s="350"/>
      <c r="AA7" s="350"/>
      <c r="AB7" s="350"/>
      <c r="AC7" s="350"/>
      <c r="AD7" s="350"/>
    </row>
    <row r="8" spans="1:30" ht="12" customHeight="1">
      <c r="A8" s="157" t="s">
        <v>158</v>
      </c>
      <c r="B8" s="164">
        <v>924.54336114139187</v>
      </c>
      <c r="C8" s="159">
        <v>961.93776684198417</v>
      </c>
      <c r="D8" s="191">
        <v>-3.8874038414519405E-2</v>
      </c>
      <c r="E8" s="159">
        <v>961.38819945869488</v>
      </c>
      <c r="F8" s="159">
        <v>932.91698346401404</v>
      </c>
      <c r="G8" s="191">
        <v>3.0518488246365046E-2</v>
      </c>
      <c r="H8" s="166">
        <v>940</v>
      </c>
      <c r="I8" s="170">
        <v>10089.016851669794</v>
      </c>
      <c r="J8" s="159">
        <v>10439.624613993816</v>
      </c>
      <c r="K8" s="159">
        <v>10491.083656001612</v>
      </c>
      <c r="L8" s="158">
        <v>10124.670679432467</v>
      </c>
      <c r="M8" s="158">
        <v>10340</v>
      </c>
      <c r="N8" s="170">
        <v>1.4607142857142859</v>
      </c>
      <c r="O8" s="159">
        <v>7</v>
      </c>
      <c r="P8" s="159">
        <v>-4.5999999999999996</v>
      </c>
      <c r="Q8" s="159">
        <v>0.26896551724137935</v>
      </c>
      <c r="R8" s="168">
        <v>1.1917487684729065</v>
      </c>
      <c r="S8" s="189">
        <v>93.392954245487132</v>
      </c>
      <c r="T8" s="189">
        <v>1023.3012359999999</v>
      </c>
      <c r="U8" s="49"/>
      <c r="V8" s="350"/>
      <c r="W8" s="350"/>
      <c r="X8" s="350"/>
      <c r="Y8" s="350"/>
      <c r="Z8" s="350"/>
      <c r="AA8" s="350"/>
      <c r="AB8" s="350"/>
      <c r="AC8" s="350"/>
      <c r="AD8" s="350"/>
    </row>
    <row r="9" spans="1:30" ht="12" customHeight="1">
      <c r="A9" s="160" t="s">
        <v>159</v>
      </c>
      <c r="B9" s="165">
        <v>721.00568899803977</v>
      </c>
      <c r="C9" s="162">
        <v>750.99543483566788</v>
      </c>
      <c r="D9" s="194">
        <v>-3.9933326417876877E-2</v>
      </c>
      <c r="E9" s="162">
        <v>783.36101516030419</v>
      </c>
      <c r="F9" s="162">
        <v>810.13775562788601</v>
      </c>
      <c r="G9" s="194">
        <v>-3.3052083156930361E-2</v>
      </c>
      <c r="H9" s="167">
        <v>800</v>
      </c>
      <c r="I9" s="171">
        <v>7914.5149849650434</v>
      </c>
      <c r="J9" s="162">
        <v>8191.6041601720672</v>
      </c>
      <c r="K9" s="162">
        <v>8598.9924736093344</v>
      </c>
      <c r="L9" s="161">
        <v>8836.7085890022845</v>
      </c>
      <c r="M9" s="169">
        <v>8800</v>
      </c>
      <c r="N9" s="171">
        <v>5.3870967741935489</v>
      </c>
      <c r="O9" s="162">
        <v>9.6999999999999993</v>
      </c>
      <c r="P9" s="162">
        <v>2.4</v>
      </c>
      <c r="Q9" s="162">
        <v>3.4870967741935481</v>
      </c>
      <c r="R9" s="169">
        <v>1.9000000000000008</v>
      </c>
      <c r="S9" s="195">
        <v>50.594866538212273</v>
      </c>
      <c r="T9" s="195">
        <v>556.83460700000001</v>
      </c>
      <c r="U9" s="49"/>
      <c r="V9" s="350"/>
      <c r="W9" s="350"/>
      <c r="X9" s="350"/>
      <c r="Y9" s="350"/>
      <c r="Z9" s="350"/>
      <c r="AA9" s="350"/>
      <c r="AB9" s="350"/>
      <c r="AC9" s="350"/>
      <c r="AD9" s="350"/>
    </row>
    <row r="10" spans="1:30" ht="12" customHeight="1">
      <c r="A10" s="157" t="s">
        <v>160</v>
      </c>
      <c r="B10" s="164"/>
      <c r="C10" s="159"/>
      <c r="D10" s="191"/>
      <c r="E10" s="159"/>
      <c r="F10" s="159"/>
      <c r="G10" s="191"/>
      <c r="H10" s="166">
        <v>540</v>
      </c>
      <c r="I10" s="170"/>
      <c r="J10" s="159"/>
      <c r="K10" s="159"/>
      <c r="L10" s="158"/>
      <c r="M10" s="158">
        <v>5940</v>
      </c>
      <c r="N10" s="164"/>
      <c r="O10" s="158"/>
      <c r="P10" s="158"/>
      <c r="Q10" s="158">
        <v>8.6933333333333316</v>
      </c>
      <c r="R10" s="168"/>
      <c r="S10" s="189"/>
      <c r="T10" s="189"/>
      <c r="U10" s="49"/>
      <c r="V10" s="60"/>
      <c r="X10" s="350"/>
      <c r="Y10" s="350"/>
    </row>
    <row r="11" spans="1:30" ht="12" customHeight="1">
      <c r="A11" s="157" t="s">
        <v>161</v>
      </c>
      <c r="B11" s="164"/>
      <c r="C11" s="159"/>
      <c r="D11" s="191"/>
      <c r="E11" s="159"/>
      <c r="F11" s="159"/>
      <c r="G11" s="191"/>
      <c r="H11" s="166">
        <v>360</v>
      </c>
      <c r="I11" s="170"/>
      <c r="J11" s="159"/>
      <c r="K11" s="159"/>
      <c r="L11" s="158"/>
      <c r="M11" s="158">
        <v>3960</v>
      </c>
      <c r="N11" s="170"/>
      <c r="O11" s="159"/>
      <c r="P11" s="159"/>
      <c r="Q11" s="159">
        <v>13.409677419354839</v>
      </c>
      <c r="R11" s="168"/>
      <c r="S11" s="189"/>
      <c r="T11" s="189"/>
      <c r="U11" s="49"/>
      <c r="V11" s="60"/>
      <c r="X11" s="350"/>
      <c r="Y11" s="350"/>
    </row>
    <row r="12" spans="1:30" ht="12" customHeight="1">
      <c r="A12" s="160" t="s">
        <v>162</v>
      </c>
      <c r="B12" s="165"/>
      <c r="C12" s="162"/>
      <c r="D12" s="194"/>
      <c r="E12" s="162"/>
      <c r="F12" s="162"/>
      <c r="G12" s="194"/>
      <c r="H12" s="167">
        <v>300</v>
      </c>
      <c r="I12" s="171"/>
      <c r="J12" s="162"/>
      <c r="K12" s="162"/>
      <c r="L12" s="161"/>
      <c r="M12" s="169">
        <v>3300</v>
      </c>
      <c r="N12" s="171"/>
      <c r="O12" s="162"/>
      <c r="P12" s="162"/>
      <c r="Q12" s="162">
        <v>17</v>
      </c>
      <c r="R12" s="169"/>
      <c r="S12" s="195"/>
      <c r="T12" s="195"/>
      <c r="U12" s="58"/>
      <c r="V12" s="60"/>
    </row>
    <row r="13" spans="1:30" ht="12" customHeight="1">
      <c r="A13" s="157" t="s">
        <v>163</v>
      </c>
      <c r="B13" s="164"/>
      <c r="C13" s="159"/>
      <c r="D13" s="191"/>
      <c r="E13" s="159"/>
      <c r="F13" s="159"/>
      <c r="G13" s="191"/>
      <c r="H13" s="166">
        <v>290</v>
      </c>
      <c r="I13" s="170"/>
      <c r="J13" s="159"/>
      <c r="K13" s="159"/>
      <c r="L13" s="158"/>
      <c r="M13" s="158">
        <v>3190</v>
      </c>
      <c r="N13" s="164"/>
      <c r="O13" s="158"/>
      <c r="P13" s="158"/>
      <c r="Q13" s="158">
        <v>18.674193548387095</v>
      </c>
      <c r="R13" s="168"/>
      <c r="S13" s="189"/>
      <c r="T13" s="189"/>
      <c r="U13" s="49"/>
      <c r="V13" s="60"/>
    </row>
    <row r="14" spans="1:30" ht="12" customHeight="1">
      <c r="A14" s="157" t="s">
        <v>164</v>
      </c>
      <c r="B14" s="164"/>
      <c r="C14" s="159"/>
      <c r="D14" s="191"/>
      <c r="E14" s="159"/>
      <c r="F14" s="159"/>
      <c r="G14" s="191"/>
      <c r="H14" s="166">
        <v>290</v>
      </c>
      <c r="I14" s="170"/>
      <c r="J14" s="159"/>
      <c r="K14" s="159"/>
      <c r="L14" s="158"/>
      <c r="M14" s="158">
        <v>3190</v>
      </c>
      <c r="N14" s="170"/>
      <c r="O14" s="159"/>
      <c r="P14" s="159"/>
      <c r="Q14" s="159">
        <v>18.203225806451616</v>
      </c>
      <c r="R14" s="168"/>
      <c r="S14" s="189"/>
      <c r="T14" s="189"/>
      <c r="U14" s="49"/>
      <c r="V14" s="60"/>
    </row>
    <row r="15" spans="1:30" ht="12" customHeight="1">
      <c r="A15" s="160" t="s">
        <v>165</v>
      </c>
      <c r="B15" s="165"/>
      <c r="C15" s="162"/>
      <c r="D15" s="194"/>
      <c r="E15" s="162"/>
      <c r="F15" s="162"/>
      <c r="G15" s="194"/>
      <c r="H15" s="167">
        <v>340</v>
      </c>
      <c r="I15" s="171"/>
      <c r="J15" s="162"/>
      <c r="K15" s="162"/>
      <c r="L15" s="161"/>
      <c r="M15" s="161">
        <v>3740</v>
      </c>
      <c r="N15" s="171"/>
      <c r="O15" s="162"/>
      <c r="P15" s="162"/>
      <c r="Q15" s="162">
        <v>13.360000000000001</v>
      </c>
      <c r="R15" s="169"/>
      <c r="S15" s="195"/>
      <c r="T15" s="195"/>
      <c r="U15" s="49"/>
      <c r="V15" s="60"/>
    </row>
    <row r="16" spans="1:30" ht="12" customHeight="1">
      <c r="A16" s="157" t="s">
        <v>166</v>
      </c>
      <c r="B16" s="164"/>
      <c r="C16" s="159"/>
      <c r="D16" s="191"/>
      <c r="E16" s="159"/>
      <c r="F16" s="159"/>
      <c r="G16" s="191"/>
      <c r="H16" s="166">
        <v>590</v>
      </c>
      <c r="I16" s="170"/>
      <c r="J16" s="159"/>
      <c r="K16" s="159"/>
      <c r="L16" s="158"/>
      <c r="M16" s="158">
        <v>6490</v>
      </c>
      <c r="N16" s="164"/>
      <c r="O16" s="158"/>
      <c r="P16" s="158"/>
      <c r="Q16" s="158">
        <v>8.6774193548387117</v>
      </c>
      <c r="R16" s="168"/>
      <c r="S16" s="189"/>
      <c r="T16" s="189"/>
      <c r="U16" s="49"/>
      <c r="V16" s="60"/>
    </row>
    <row r="17" spans="1:22" ht="12" customHeight="1">
      <c r="A17" s="157" t="s">
        <v>167</v>
      </c>
      <c r="B17" s="164"/>
      <c r="C17" s="159"/>
      <c r="D17" s="191"/>
      <c r="E17" s="159"/>
      <c r="F17" s="159"/>
      <c r="G17" s="191"/>
      <c r="H17" s="166">
        <v>800</v>
      </c>
      <c r="I17" s="170"/>
      <c r="J17" s="159"/>
      <c r="K17" s="159"/>
      <c r="L17" s="158"/>
      <c r="M17" s="158">
        <v>8800</v>
      </c>
      <c r="N17" s="170"/>
      <c r="O17" s="159"/>
      <c r="P17" s="159"/>
      <c r="Q17" s="159">
        <v>3.9166666666666656</v>
      </c>
      <c r="R17" s="168"/>
      <c r="S17" s="189"/>
      <c r="T17" s="189"/>
      <c r="U17" s="49"/>
      <c r="V17" s="60"/>
    </row>
    <row r="18" spans="1:22" ht="12" customHeight="1">
      <c r="A18" s="160" t="s">
        <v>168</v>
      </c>
      <c r="B18" s="165"/>
      <c r="C18" s="162"/>
      <c r="D18" s="194"/>
      <c r="E18" s="162"/>
      <c r="F18" s="162"/>
      <c r="G18" s="194"/>
      <c r="H18" s="167">
        <v>950</v>
      </c>
      <c r="I18" s="171"/>
      <c r="J18" s="162"/>
      <c r="K18" s="162"/>
      <c r="L18" s="161"/>
      <c r="M18" s="161">
        <v>10450</v>
      </c>
      <c r="N18" s="171"/>
      <c r="O18" s="162"/>
      <c r="P18" s="162"/>
      <c r="Q18" s="162">
        <v>-8.0645161290322551E-2</v>
      </c>
      <c r="R18" s="169"/>
      <c r="S18" s="195"/>
      <c r="T18" s="195"/>
      <c r="U18" s="49"/>
      <c r="V18" s="60"/>
    </row>
    <row r="19" spans="1:22" ht="12" customHeight="1">
      <c r="A19" s="157" t="s">
        <v>47</v>
      </c>
      <c r="B19" s="200">
        <f>SUM(B7:B9)</f>
        <v>2878.253196009613</v>
      </c>
      <c r="C19" s="345">
        <f>SUM(C7:C9)</f>
        <v>2757.0563475469075</v>
      </c>
      <c r="D19" s="191">
        <f>(B19-C19)/C19</f>
        <v>4.3958785452658751E-2</v>
      </c>
      <c r="E19" s="192">
        <f t="shared" ref="E19:F19" si="0">SUM(E7:E9)</f>
        <v>2915.9900482027228</v>
      </c>
      <c r="F19" s="192">
        <f t="shared" si="0"/>
        <v>2851.1636230919853</v>
      </c>
      <c r="G19" s="191">
        <f t="shared" ref="G19:G25" si="1">(E19-F19)/F19</f>
        <v>2.2736830880451399E-2</v>
      </c>
      <c r="H19" s="343">
        <f t="shared" ref="H19:M19" si="2">SUM(H7:H9)</f>
        <v>2890</v>
      </c>
      <c r="I19" s="200">
        <f>SUM(I7:I9)</f>
        <v>31501.134049409902</v>
      </c>
      <c r="J19" s="345">
        <f t="shared" si="2"/>
        <v>29984.987974170934</v>
      </c>
      <c r="K19" s="192">
        <f t="shared" si="2"/>
        <v>31914.68041121044</v>
      </c>
      <c r="L19" s="192">
        <f t="shared" si="2"/>
        <v>31010.917185582606</v>
      </c>
      <c r="M19" s="343">
        <f t="shared" si="2"/>
        <v>31790</v>
      </c>
      <c r="N19" s="200">
        <f>AVERAGE(N7:N9)</f>
        <v>1.3557219662058373</v>
      </c>
      <c r="O19" s="192">
        <f>MAX(O7:O9)</f>
        <v>9.6999999999999993</v>
      </c>
      <c r="P19" s="192">
        <f>MIN(P7:P9)</f>
        <v>-7.8</v>
      </c>
      <c r="Q19" s="192">
        <f>AVERAGE(Q7:Q9)</f>
        <v>0.86062291434927696</v>
      </c>
      <c r="R19" s="203">
        <f>N19-Q19</f>
        <v>0.49509905185656033</v>
      </c>
      <c r="S19" s="192">
        <f>SUM(S7:S10)</f>
        <v>276.47560596440263</v>
      </c>
      <c r="T19" s="192">
        <f>SUM(T7:T9)</f>
        <v>3034.1670780000004</v>
      </c>
      <c r="U19" s="55"/>
      <c r="V19" s="60"/>
    </row>
    <row r="20" spans="1:22" ht="12" customHeight="1">
      <c r="A20" s="157" t="s">
        <v>55</v>
      </c>
      <c r="B20" s="366">
        <f>SUM(B10:B12)</f>
        <v>0</v>
      </c>
      <c r="C20" s="367">
        <f>SUM(C10:C12)</f>
        <v>0</v>
      </c>
      <c r="D20" s="368" t="e">
        <f>(B20-C20)/C20</f>
        <v>#DIV/0!</v>
      </c>
      <c r="E20" s="367">
        <f t="shared" ref="E20:I20" si="3">SUM(E10:E12)</f>
        <v>0</v>
      </c>
      <c r="F20" s="367">
        <f t="shared" ref="F20" si="4">SUM(F10:F12)</f>
        <v>0</v>
      </c>
      <c r="G20" s="368" t="e">
        <f>(E20-F20)/F20</f>
        <v>#DIV/0!</v>
      </c>
      <c r="H20" s="203">
        <f>SUM(H10:H12)</f>
        <v>1200</v>
      </c>
      <c r="I20" s="366">
        <f t="shared" si="3"/>
        <v>0</v>
      </c>
      <c r="J20" s="367">
        <f t="shared" ref="J20" si="5">SUM(J10:J12)</f>
        <v>0</v>
      </c>
      <c r="K20" s="367">
        <f>SUM(K10:K12)</f>
        <v>0</v>
      </c>
      <c r="L20" s="367">
        <f>SUM(L10:L12)</f>
        <v>0</v>
      </c>
      <c r="M20" s="203">
        <f>SUM(M10:M12)</f>
        <v>13200</v>
      </c>
      <c r="N20" s="366" t="e">
        <f>AVERAGE(N10:N12)</f>
        <v>#DIV/0!</v>
      </c>
      <c r="O20" s="367">
        <f>MAX(O10:O12)</f>
        <v>0</v>
      </c>
      <c r="P20" s="367">
        <f>MIN(P10:P12)</f>
        <v>0</v>
      </c>
      <c r="Q20" s="192">
        <f>AVERAGE(Q10:Q12)</f>
        <v>13.034336917562724</v>
      </c>
      <c r="R20" s="375" t="e">
        <f t="shared" ref="R20:R25" si="6">N20-Q20</f>
        <v>#DIV/0!</v>
      </c>
      <c r="S20" s="367">
        <f>SUM(S10:S12)</f>
        <v>0</v>
      </c>
      <c r="T20" s="367">
        <f>SUM(T10:T12)</f>
        <v>0</v>
      </c>
      <c r="V20" s="60"/>
    </row>
    <row r="21" spans="1:22" ht="12" customHeight="1">
      <c r="A21" s="157" t="s">
        <v>62</v>
      </c>
      <c r="B21" s="366">
        <f>SUM(B13:B15)</f>
        <v>0</v>
      </c>
      <c r="C21" s="367">
        <f>SUM(C13:C15)</f>
        <v>0</v>
      </c>
      <c r="D21" s="368" t="e">
        <f t="shared" ref="D21:D25" si="7">(B21-C21)/C21</f>
        <v>#DIV/0!</v>
      </c>
      <c r="E21" s="367">
        <f t="shared" ref="E21:K21" si="8">SUM(E13:E15)</f>
        <v>0</v>
      </c>
      <c r="F21" s="367">
        <f t="shared" ref="F21" si="9">SUM(F13:F15)</f>
        <v>0</v>
      </c>
      <c r="G21" s="368" t="e">
        <f t="shared" si="1"/>
        <v>#DIV/0!</v>
      </c>
      <c r="H21" s="203">
        <f>SUM(H13:H15)</f>
        <v>920</v>
      </c>
      <c r="I21" s="366">
        <f t="shared" si="8"/>
        <v>0</v>
      </c>
      <c r="J21" s="367">
        <f t="shared" ref="J21" si="10">SUM(J13:J15)</f>
        <v>0</v>
      </c>
      <c r="K21" s="367">
        <f t="shared" si="8"/>
        <v>0</v>
      </c>
      <c r="L21" s="367">
        <f t="shared" ref="L21" si="11">SUM(L13:L15)</f>
        <v>0</v>
      </c>
      <c r="M21" s="203">
        <f>SUM(M13:M15)</f>
        <v>10120</v>
      </c>
      <c r="N21" s="366" t="e">
        <f>AVERAGE(N13:N15)</f>
        <v>#DIV/0!</v>
      </c>
      <c r="O21" s="367">
        <f>MAX(O13:O15)</f>
        <v>0</v>
      </c>
      <c r="P21" s="367">
        <f>MIN(P13:P15)</f>
        <v>0</v>
      </c>
      <c r="Q21" s="192">
        <f>AVERAGE(Q13:Q15)</f>
        <v>16.745806451612903</v>
      </c>
      <c r="R21" s="375" t="e">
        <f>N21-Q21</f>
        <v>#DIV/0!</v>
      </c>
      <c r="S21" s="367">
        <f t="shared" ref="S21:T21" si="12">SUM(S13:S15)</f>
        <v>0</v>
      </c>
      <c r="T21" s="367">
        <f t="shared" si="12"/>
        <v>0</v>
      </c>
      <c r="V21" s="60"/>
    </row>
    <row r="22" spans="1:22" ht="12" customHeight="1">
      <c r="A22" s="160" t="s">
        <v>56</v>
      </c>
      <c r="B22" s="369">
        <f>SUM(B16:B18)</f>
        <v>0</v>
      </c>
      <c r="C22" s="370">
        <f>SUM(C16:C18)</f>
        <v>0</v>
      </c>
      <c r="D22" s="371" t="e">
        <f t="shared" si="7"/>
        <v>#DIV/0!</v>
      </c>
      <c r="E22" s="370">
        <f t="shared" ref="E22:K22" si="13">SUM(E16:E18)</f>
        <v>0</v>
      </c>
      <c r="F22" s="370">
        <f t="shared" ref="F22" si="14">SUM(F16:F18)</f>
        <v>0</v>
      </c>
      <c r="G22" s="371" t="e">
        <f t="shared" si="1"/>
        <v>#DIV/0!</v>
      </c>
      <c r="H22" s="348">
        <f>SUM(H16:H18)</f>
        <v>2340</v>
      </c>
      <c r="I22" s="369">
        <f t="shared" si="13"/>
        <v>0</v>
      </c>
      <c r="J22" s="370">
        <f t="shared" ref="J22" si="15">SUM(J16:J18)</f>
        <v>0</v>
      </c>
      <c r="K22" s="370">
        <f t="shared" si="13"/>
        <v>0</v>
      </c>
      <c r="L22" s="370">
        <f t="shared" ref="L22" si="16">SUM(L16:L18)</f>
        <v>0</v>
      </c>
      <c r="M22" s="348">
        <f>SUM(M16:M18)</f>
        <v>25740</v>
      </c>
      <c r="N22" s="369" t="e">
        <f>AVERAGE(N16:N18)</f>
        <v>#DIV/0!</v>
      </c>
      <c r="O22" s="370">
        <f>MAX(O16:O18)</f>
        <v>0</v>
      </c>
      <c r="P22" s="370">
        <f>MIN(P16:P18)</f>
        <v>0</v>
      </c>
      <c r="Q22" s="354">
        <f>AVERAGE(Q16:Q18)</f>
        <v>4.1711469534050183</v>
      </c>
      <c r="R22" s="376" t="e">
        <f t="shared" si="6"/>
        <v>#DIV/0!</v>
      </c>
      <c r="S22" s="370">
        <f t="shared" ref="S22:T22" si="17">SUM(S16:S18)</f>
        <v>0</v>
      </c>
      <c r="T22" s="370">
        <f t="shared" si="17"/>
        <v>0</v>
      </c>
      <c r="V22" s="60"/>
    </row>
    <row r="23" spans="1:22" ht="12" customHeight="1">
      <c r="A23" s="157" t="s">
        <v>57</v>
      </c>
      <c r="B23" s="366">
        <f>SUM(B7:B12)</f>
        <v>2878.253196009613</v>
      </c>
      <c r="C23" s="367">
        <f>SUM(C7:C12)</f>
        <v>2757.0563475469075</v>
      </c>
      <c r="D23" s="368">
        <f t="shared" si="7"/>
        <v>4.3958785452658751E-2</v>
      </c>
      <c r="E23" s="367">
        <f>SUM(E7:E12)</f>
        <v>2915.9900482027228</v>
      </c>
      <c r="F23" s="367">
        <f>SUM(F7:F12)</f>
        <v>2851.1636230919853</v>
      </c>
      <c r="G23" s="368">
        <f>(E23-F23)/F23</f>
        <v>2.2736830880451399E-2</v>
      </c>
      <c r="H23" s="203">
        <f>SUM(H7:H12)</f>
        <v>4090</v>
      </c>
      <c r="I23" s="366">
        <f t="shared" ref="I23:K23" si="18">SUM(I7:I12)</f>
        <v>31501.134049409902</v>
      </c>
      <c r="J23" s="367">
        <f t="shared" ref="J23" si="19">SUM(J7:J12)</f>
        <v>29984.987974170934</v>
      </c>
      <c r="K23" s="367">
        <f t="shared" si="18"/>
        <v>31914.68041121044</v>
      </c>
      <c r="L23" s="367">
        <f t="shared" ref="L23" si="20">SUM(L7:L12)</f>
        <v>31010.917185582606</v>
      </c>
      <c r="M23" s="203">
        <f>SUM(M7:M12)</f>
        <v>44990</v>
      </c>
      <c r="N23" s="366">
        <f>AVERAGE(N7:N12)</f>
        <v>1.3557219662058373</v>
      </c>
      <c r="O23" s="367">
        <f>MAX(O7:O12)</f>
        <v>9.6999999999999993</v>
      </c>
      <c r="P23" s="367">
        <f>MIN(P7:P12)</f>
        <v>-7.8</v>
      </c>
      <c r="Q23" s="192">
        <f>AVERAGE(Q7:Q12)</f>
        <v>6.9474799159559995</v>
      </c>
      <c r="R23" s="375">
        <f t="shared" si="6"/>
        <v>-5.5917579497501624</v>
      </c>
      <c r="S23" s="367">
        <f>SUM(S7:S12)</f>
        <v>276.47560596440263</v>
      </c>
      <c r="T23" s="367">
        <f>SUM(T7:T12)</f>
        <v>3034.1670780000004</v>
      </c>
      <c r="V23" s="60"/>
    </row>
    <row r="24" spans="1:22" ht="12" customHeight="1">
      <c r="A24" s="160" t="s">
        <v>58</v>
      </c>
      <c r="B24" s="369">
        <f>SUM(B13:B18)</f>
        <v>0</v>
      </c>
      <c r="C24" s="370">
        <f>SUM(C13:C18)</f>
        <v>0</v>
      </c>
      <c r="D24" s="371" t="e">
        <f t="shared" si="7"/>
        <v>#DIV/0!</v>
      </c>
      <c r="E24" s="370">
        <f t="shared" ref="E24:K24" si="21">SUM(E13:E18)</f>
        <v>0</v>
      </c>
      <c r="F24" s="370">
        <f t="shared" ref="F24" si="22">SUM(F13:F18)</f>
        <v>0</v>
      </c>
      <c r="G24" s="371" t="e">
        <f t="shared" si="1"/>
        <v>#DIV/0!</v>
      </c>
      <c r="H24" s="348">
        <f>SUM(H13:H18)</f>
        <v>3260</v>
      </c>
      <c r="I24" s="369">
        <f t="shared" si="21"/>
        <v>0</v>
      </c>
      <c r="J24" s="370">
        <f t="shared" ref="J24" si="23">SUM(J13:J18)</f>
        <v>0</v>
      </c>
      <c r="K24" s="370">
        <f t="shared" si="21"/>
        <v>0</v>
      </c>
      <c r="L24" s="370">
        <f t="shared" ref="L24" si="24">SUM(L13:L18)</f>
        <v>0</v>
      </c>
      <c r="M24" s="348">
        <f>SUM(M13:M18)</f>
        <v>35860</v>
      </c>
      <c r="N24" s="369" t="e">
        <f>AVERAGE(N13:N18)</f>
        <v>#DIV/0!</v>
      </c>
      <c r="O24" s="370">
        <f>MAX(O13:O18)</f>
        <v>0</v>
      </c>
      <c r="P24" s="370">
        <f>MIN(P13:P18)</f>
        <v>0</v>
      </c>
      <c r="Q24" s="354">
        <f>AVERAGE(Q13:Q18)</f>
        <v>10.45847670250896</v>
      </c>
      <c r="R24" s="376" t="e">
        <f t="shared" si="6"/>
        <v>#DIV/0!</v>
      </c>
      <c r="S24" s="370">
        <f t="shared" ref="S24:T24" si="25">SUM(S13:S18)</f>
        <v>0</v>
      </c>
      <c r="T24" s="370">
        <f t="shared" si="25"/>
        <v>0</v>
      </c>
      <c r="V24" s="60"/>
    </row>
    <row r="25" spans="1:22" ht="12" customHeight="1">
      <c r="A25" s="196" t="s">
        <v>169</v>
      </c>
      <c r="B25" s="372">
        <f>SUM(B7:B18)</f>
        <v>2878.253196009613</v>
      </c>
      <c r="C25" s="373">
        <f>SUM(C7:C18)</f>
        <v>2757.0563475469075</v>
      </c>
      <c r="D25" s="374">
        <f t="shared" si="7"/>
        <v>4.3958785452658751E-2</v>
      </c>
      <c r="E25" s="373">
        <f t="shared" ref="E25:K25" si="26">SUM(E7:E18)</f>
        <v>2915.9900482027228</v>
      </c>
      <c r="F25" s="373">
        <f t="shared" ref="F25" si="27">SUM(F7:F18)</f>
        <v>2851.1636230919853</v>
      </c>
      <c r="G25" s="374">
        <f t="shared" si="1"/>
        <v>2.2736830880451399E-2</v>
      </c>
      <c r="H25" s="349">
        <f>SUM(H7:H18)</f>
        <v>7350</v>
      </c>
      <c r="I25" s="372">
        <f t="shared" si="26"/>
        <v>31501.134049409902</v>
      </c>
      <c r="J25" s="373">
        <f t="shared" ref="J25" si="28">SUM(J7:J18)</f>
        <v>29984.987974170934</v>
      </c>
      <c r="K25" s="373">
        <f t="shared" si="26"/>
        <v>31914.68041121044</v>
      </c>
      <c r="L25" s="373">
        <f t="shared" ref="L25" si="29">SUM(L7:L18)</f>
        <v>31010.917185582606</v>
      </c>
      <c r="M25" s="349">
        <f>SUM(M7:M18)</f>
        <v>80850</v>
      </c>
      <c r="N25" s="372">
        <f>AVERAGE(N7:N18)</f>
        <v>1.3557219662058373</v>
      </c>
      <c r="O25" s="373">
        <f>MAX(O7:O18)</f>
        <v>9.6999999999999993</v>
      </c>
      <c r="P25" s="373">
        <f>MIN(P7:P18)</f>
        <v>-7.8</v>
      </c>
      <c r="Q25" s="355">
        <f>AVERAGE(Q7:Q18)</f>
        <v>8.7029783092324795</v>
      </c>
      <c r="R25" s="377">
        <f t="shared" si="6"/>
        <v>-7.3472563430266424</v>
      </c>
      <c r="S25" s="373">
        <f t="shared" ref="S25:T25" si="30">SUM(S7:S18)</f>
        <v>276.47560596440263</v>
      </c>
      <c r="T25" s="373">
        <f t="shared" si="30"/>
        <v>3034.1670780000004</v>
      </c>
      <c r="V25" s="60"/>
    </row>
    <row r="26" spans="1:22" ht="11.25" customHeight="1">
      <c r="A26" s="435" t="s">
        <v>320</v>
      </c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</row>
    <row r="27" spans="1:22" ht="15" customHeight="1">
      <c r="A27" s="434" t="s">
        <v>236</v>
      </c>
      <c r="B27" s="434"/>
      <c r="C27" s="434"/>
      <c r="D27" s="434"/>
      <c r="E27" s="434"/>
      <c r="F27" s="434"/>
      <c r="G27" s="434"/>
      <c r="H27" s="434"/>
      <c r="I27" s="434"/>
      <c r="J27" s="434" t="s">
        <v>154</v>
      </c>
      <c r="K27" s="434"/>
      <c r="L27" s="434"/>
      <c r="M27" s="434"/>
      <c r="N27" s="434"/>
      <c r="O27" s="434"/>
      <c r="P27" s="434"/>
      <c r="Q27" s="434"/>
      <c r="R27" s="434"/>
      <c r="S27" s="434"/>
      <c r="T27" s="434"/>
    </row>
    <row r="28" spans="1:22" ht="8.1" customHeight="1">
      <c r="A28" s="53"/>
      <c r="B28" s="53"/>
      <c r="C28" s="53"/>
      <c r="D28" s="53"/>
      <c r="E28" s="53" t="s">
        <v>135</v>
      </c>
      <c r="F28" s="53" t="s">
        <v>130</v>
      </c>
      <c r="G28" s="53"/>
      <c r="H28" s="53"/>
      <c r="I28" s="53"/>
      <c r="J28" s="53"/>
      <c r="K28" s="53"/>
      <c r="L28" s="53"/>
      <c r="M28" s="53"/>
      <c r="N28" s="54" t="str">
        <f>N6</f>
        <v xml:space="preserve"> Průměr</v>
      </c>
      <c r="O28" s="54" t="str">
        <f>Q6</f>
        <v xml:space="preserve"> Normál</v>
      </c>
      <c r="P28" s="54"/>
      <c r="Q28" s="53"/>
      <c r="R28" s="53"/>
      <c r="S28" s="53"/>
      <c r="T28" s="53"/>
    </row>
    <row r="29" spans="1:22" ht="6.95" customHeight="1">
      <c r="A29" s="53"/>
      <c r="B29" s="53"/>
      <c r="C29" s="53"/>
      <c r="D29" s="53" t="str">
        <f>A7</f>
        <v>Leden</v>
      </c>
      <c r="E29" s="54">
        <f>B7</f>
        <v>1232.7041458701813</v>
      </c>
      <c r="F29" s="54">
        <f>E7</f>
        <v>1171.2408335837235</v>
      </c>
      <c r="G29" s="54"/>
      <c r="H29" s="54"/>
      <c r="I29" s="53"/>
      <c r="J29" s="53"/>
      <c r="K29" s="53"/>
      <c r="L29" s="53"/>
      <c r="M29" s="53" t="str">
        <f>A7</f>
        <v>Leden</v>
      </c>
      <c r="N29" s="54">
        <f>N7</f>
        <v>-2.7806451612903227</v>
      </c>
      <c r="O29" s="54">
        <f>Q7</f>
        <v>-1.1741935483870967</v>
      </c>
      <c r="P29" s="54"/>
      <c r="Q29" s="53"/>
      <c r="R29" s="53"/>
      <c r="S29" s="53"/>
      <c r="T29" s="53"/>
    </row>
    <row r="30" spans="1:22" ht="6.95" customHeight="1">
      <c r="A30" s="53"/>
      <c r="B30" s="53"/>
      <c r="C30" s="53"/>
      <c r="D30" s="53" t="str">
        <f t="shared" ref="D30:D39" si="31">A8</f>
        <v>Únor</v>
      </c>
      <c r="E30" s="54">
        <f t="shared" ref="E30:E40" si="32">B8</f>
        <v>924.54336114139187</v>
      </c>
      <c r="F30" s="54">
        <f t="shared" ref="F30:F40" si="33">E8</f>
        <v>961.38819945869488</v>
      </c>
      <c r="G30" s="54"/>
      <c r="H30" s="54"/>
      <c r="I30" s="53"/>
      <c r="J30" s="53"/>
      <c r="K30" s="53"/>
      <c r="L30" s="53"/>
      <c r="M30" s="53" t="str">
        <f t="shared" ref="M30:M40" si="34">A8</f>
        <v>Únor</v>
      </c>
      <c r="N30" s="54">
        <f t="shared" ref="N30:N40" si="35">N8</f>
        <v>1.4607142857142859</v>
      </c>
      <c r="O30" s="54">
        <f t="shared" ref="O30:O40" si="36">Q8</f>
        <v>0.26896551724137935</v>
      </c>
      <c r="P30" s="54"/>
      <c r="Q30" s="53"/>
      <c r="R30" s="53"/>
      <c r="S30" s="53"/>
      <c r="T30" s="53"/>
    </row>
    <row r="31" spans="1:22" ht="6.95" customHeight="1">
      <c r="A31" s="53"/>
      <c r="B31" s="53"/>
      <c r="C31" s="53"/>
      <c r="D31" s="53" t="str">
        <f t="shared" si="31"/>
        <v>Březen</v>
      </c>
      <c r="E31" s="54">
        <f t="shared" si="32"/>
        <v>721.00568899803977</v>
      </c>
      <c r="F31" s="54">
        <f t="shared" si="33"/>
        <v>783.36101516030419</v>
      </c>
      <c r="G31" s="54"/>
      <c r="H31" s="54"/>
      <c r="I31" s="53"/>
      <c r="J31" s="53"/>
      <c r="K31" s="53"/>
      <c r="L31" s="53"/>
      <c r="M31" s="53" t="str">
        <f t="shared" si="34"/>
        <v>Březen</v>
      </c>
      <c r="N31" s="54">
        <f t="shared" si="35"/>
        <v>5.3870967741935489</v>
      </c>
      <c r="O31" s="54">
        <f t="shared" si="36"/>
        <v>3.4870967741935481</v>
      </c>
      <c r="P31" s="54"/>
      <c r="Q31" s="53"/>
      <c r="R31" s="53"/>
      <c r="S31" s="53"/>
      <c r="T31" s="53"/>
    </row>
    <row r="32" spans="1:22" ht="6.95" customHeight="1">
      <c r="A32" s="53"/>
      <c r="B32" s="53"/>
      <c r="C32" s="53"/>
      <c r="D32" s="53" t="str">
        <f t="shared" si="31"/>
        <v>Duben</v>
      </c>
      <c r="E32" s="54">
        <f t="shared" si="32"/>
        <v>0</v>
      </c>
      <c r="F32" s="54">
        <f t="shared" si="33"/>
        <v>0</v>
      </c>
      <c r="G32" s="54"/>
      <c r="H32" s="54"/>
      <c r="I32" s="53"/>
      <c r="J32" s="53"/>
      <c r="K32" s="53"/>
      <c r="L32" s="53"/>
      <c r="M32" s="53" t="str">
        <f t="shared" si="34"/>
        <v>Duben</v>
      </c>
      <c r="N32" s="54">
        <f t="shared" si="35"/>
        <v>0</v>
      </c>
      <c r="O32" s="54">
        <f t="shared" si="36"/>
        <v>8.6933333333333316</v>
      </c>
      <c r="P32" s="54"/>
      <c r="Q32" s="53"/>
      <c r="R32" s="53"/>
      <c r="S32" s="53"/>
      <c r="T32" s="53"/>
    </row>
    <row r="33" spans="1:20" ht="6.95" customHeight="1">
      <c r="A33" s="53"/>
      <c r="B33" s="53"/>
      <c r="C33" s="53"/>
      <c r="D33" s="53" t="str">
        <f t="shared" si="31"/>
        <v>Květen</v>
      </c>
      <c r="E33" s="54">
        <f t="shared" si="32"/>
        <v>0</v>
      </c>
      <c r="F33" s="54">
        <f t="shared" si="33"/>
        <v>0</v>
      </c>
      <c r="G33" s="54"/>
      <c r="H33" s="54"/>
      <c r="I33" s="53"/>
      <c r="J33" s="53"/>
      <c r="K33" s="53"/>
      <c r="L33" s="53"/>
      <c r="M33" s="53" t="str">
        <f t="shared" si="34"/>
        <v>Květen</v>
      </c>
      <c r="N33" s="54">
        <f t="shared" si="35"/>
        <v>0</v>
      </c>
      <c r="O33" s="54">
        <f t="shared" si="36"/>
        <v>13.409677419354839</v>
      </c>
      <c r="P33" s="54"/>
      <c r="Q33" s="53"/>
      <c r="R33" s="53"/>
      <c r="S33" s="53"/>
      <c r="T33" s="53"/>
    </row>
    <row r="34" spans="1:20" ht="6.95" customHeight="1">
      <c r="A34" s="53"/>
      <c r="B34" s="53"/>
      <c r="C34" s="53"/>
      <c r="D34" s="53" t="str">
        <f t="shared" si="31"/>
        <v>Červen</v>
      </c>
      <c r="E34" s="54">
        <f t="shared" si="32"/>
        <v>0</v>
      </c>
      <c r="F34" s="54">
        <f t="shared" si="33"/>
        <v>0</v>
      </c>
      <c r="G34" s="54"/>
      <c r="H34" s="54"/>
      <c r="I34" s="53"/>
      <c r="J34" s="53"/>
      <c r="K34" s="53"/>
      <c r="L34" s="53"/>
      <c r="M34" s="53" t="str">
        <f t="shared" si="34"/>
        <v>Červen</v>
      </c>
      <c r="N34" s="54">
        <f t="shared" si="35"/>
        <v>0</v>
      </c>
      <c r="O34" s="54">
        <f t="shared" si="36"/>
        <v>17</v>
      </c>
      <c r="P34" s="54"/>
      <c r="Q34" s="53"/>
      <c r="R34" s="53"/>
      <c r="S34" s="53"/>
      <c r="T34" s="53"/>
    </row>
    <row r="35" spans="1:20" ht="6.95" customHeight="1">
      <c r="A35" s="53"/>
      <c r="B35" s="53"/>
      <c r="C35" s="53"/>
      <c r="D35" s="53" t="str">
        <f t="shared" si="31"/>
        <v>Červenec</v>
      </c>
      <c r="E35" s="54">
        <f t="shared" si="32"/>
        <v>0</v>
      </c>
      <c r="F35" s="54">
        <f t="shared" si="33"/>
        <v>0</v>
      </c>
      <c r="G35" s="54"/>
      <c r="H35" s="54"/>
      <c r="I35" s="53"/>
      <c r="J35" s="53"/>
      <c r="K35" s="53"/>
      <c r="L35" s="53"/>
      <c r="M35" s="53" t="str">
        <f t="shared" si="34"/>
        <v>Červenec</v>
      </c>
      <c r="N35" s="54">
        <f t="shared" si="35"/>
        <v>0</v>
      </c>
      <c r="O35" s="54">
        <f t="shared" si="36"/>
        <v>18.674193548387095</v>
      </c>
      <c r="P35" s="54"/>
      <c r="Q35" s="53"/>
      <c r="R35" s="53"/>
      <c r="S35" s="53"/>
      <c r="T35" s="53"/>
    </row>
    <row r="36" spans="1:20" ht="6.95" customHeight="1">
      <c r="A36" s="53"/>
      <c r="B36" s="53"/>
      <c r="C36" s="53"/>
      <c r="D36" s="53" t="str">
        <f t="shared" si="31"/>
        <v>Srpen</v>
      </c>
      <c r="E36" s="54">
        <f t="shared" si="32"/>
        <v>0</v>
      </c>
      <c r="F36" s="54">
        <f t="shared" si="33"/>
        <v>0</v>
      </c>
      <c r="G36" s="54"/>
      <c r="H36" s="54"/>
      <c r="I36" s="53"/>
      <c r="J36" s="53"/>
      <c r="K36" s="53"/>
      <c r="L36" s="53"/>
      <c r="M36" s="53" t="str">
        <f t="shared" si="34"/>
        <v>Srpen</v>
      </c>
      <c r="N36" s="54">
        <f t="shared" si="35"/>
        <v>0</v>
      </c>
      <c r="O36" s="54">
        <f t="shared" si="36"/>
        <v>18.203225806451616</v>
      </c>
      <c r="P36" s="54"/>
      <c r="Q36" s="53"/>
      <c r="R36" s="53"/>
      <c r="S36" s="53"/>
      <c r="T36" s="53"/>
    </row>
    <row r="37" spans="1:20" ht="6.95" customHeight="1">
      <c r="A37" s="53"/>
      <c r="B37" s="53"/>
      <c r="C37" s="53"/>
      <c r="D37" s="53" t="str">
        <f t="shared" si="31"/>
        <v>Září</v>
      </c>
      <c r="E37" s="54">
        <f t="shared" si="32"/>
        <v>0</v>
      </c>
      <c r="F37" s="54">
        <f t="shared" si="33"/>
        <v>0</v>
      </c>
      <c r="G37" s="54"/>
      <c r="H37" s="54"/>
      <c r="I37" s="53"/>
      <c r="J37" s="53"/>
      <c r="K37" s="53"/>
      <c r="L37" s="53"/>
      <c r="M37" s="53" t="str">
        <f t="shared" si="34"/>
        <v>Září</v>
      </c>
      <c r="N37" s="54">
        <f t="shared" si="35"/>
        <v>0</v>
      </c>
      <c r="O37" s="54">
        <f t="shared" si="36"/>
        <v>13.360000000000001</v>
      </c>
      <c r="P37" s="54"/>
      <c r="Q37" s="53"/>
      <c r="R37" s="53"/>
      <c r="S37" s="53"/>
      <c r="T37" s="53"/>
    </row>
    <row r="38" spans="1:20" ht="6.95" customHeight="1">
      <c r="A38" s="53"/>
      <c r="B38" s="53"/>
      <c r="C38" s="53"/>
      <c r="D38" s="53" t="str">
        <f t="shared" si="31"/>
        <v>Říjen</v>
      </c>
      <c r="E38" s="54">
        <f t="shared" si="32"/>
        <v>0</v>
      </c>
      <c r="F38" s="54">
        <f t="shared" si="33"/>
        <v>0</v>
      </c>
      <c r="G38" s="54"/>
      <c r="H38" s="54"/>
      <c r="I38" s="53"/>
      <c r="J38" s="53"/>
      <c r="K38" s="53"/>
      <c r="L38" s="53"/>
      <c r="M38" s="53" t="str">
        <f t="shared" si="34"/>
        <v>Říjen</v>
      </c>
      <c r="N38" s="54">
        <f t="shared" si="35"/>
        <v>0</v>
      </c>
      <c r="O38" s="54">
        <f t="shared" si="36"/>
        <v>8.6774193548387117</v>
      </c>
      <c r="P38" s="54"/>
      <c r="Q38" s="53"/>
      <c r="R38" s="53"/>
      <c r="S38" s="53"/>
      <c r="T38" s="53"/>
    </row>
    <row r="39" spans="1:20" ht="6.95" customHeight="1">
      <c r="A39" s="53"/>
      <c r="B39" s="53"/>
      <c r="C39" s="53"/>
      <c r="D39" s="53" t="str">
        <f t="shared" si="31"/>
        <v>Listopad</v>
      </c>
      <c r="E39" s="54">
        <f t="shared" si="32"/>
        <v>0</v>
      </c>
      <c r="F39" s="54">
        <f t="shared" si="33"/>
        <v>0</v>
      </c>
      <c r="G39" s="53"/>
      <c r="H39" s="53"/>
      <c r="I39" s="53"/>
      <c r="J39" s="53"/>
      <c r="K39" s="53"/>
      <c r="L39" s="53"/>
      <c r="M39" s="53" t="str">
        <f t="shared" si="34"/>
        <v>Listopad</v>
      </c>
      <c r="N39" s="54">
        <f t="shared" si="35"/>
        <v>0</v>
      </c>
      <c r="O39" s="54">
        <f t="shared" si="36"/>
        <v>3.9166666666666656</v>
      </c>
      <c r="P39" s="53"/>
      <c r="Q39" s="53"/>
      <c r="R39" s="53"/>
      <c r="S39" s="53"/>
      <c r="T39" s="53"/>
    </row>
    <row r="40" spans="1:20" ht="6.95" customHeight="1">
      <c r="A40" s="53"/>
      <c r="B40" s="53"/>
      <c r="C40" s="53"/>
      <c r="D40" s="53" t="str">
        <f>A18</f>
        <v>Prosinec</v>
      </c>
      <c r="E40" s="54">
        <f t="shared" si="32"/>
        <v>0</v>
      </c>
      <c r="F40" s="54">
        <f t="shared" si="33"/>
        <v>0</v>
      </c>
      <c r="G40" s="53"/>
      <c r="H40" s="53"/>
      <c r="I40" s="53"/>
      <c r="J40" s="53"/>
      <c r="K40" s="53"/>
      <c r="L40" s="53"/>
      <c r="M40" s="53" t="str">
        <f t="shared" si="34"/>
        <v>Prosinec</v>
      </c>
      <c r="N40" s="54">
        <f t="shared" si="35"/>
        <v>0</v>
      </c>
      <c r="O40" s="54">
        <f t="shared" si="36"/>
        <v>-8.0645161290322551E-2</v>
      </c>
      <c r="P40" s="53"/>
      <c r="Q40" s="53"/>
      <c r="R40" s="53"/>
      <c r="S40" s="53"/>
      <c r="T40" s="53"/>
    </row>
    <row r="41" spans="1:20" ht="12" customHeight="1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</row>
    <row r="42" spans="1:20" ht="12" customHeight="1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</row>
    <row r="43" spans="1:20" ht="12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</row>
    <row r="54" spans="9:10">
      <c r="I54" s="55"/>
      <c r="J54" s="55"/>
    </row>
    <row r="56" spans="9:10">
      <c r="I56" s="60"/>
      <c r="J56" s="60"/>
    </row>
  </sheetData>
  <mergeCells count="12">
    <mergeCell ref="I4:M4"/>
    <mergeCell ref="N4:R4"/>
    <mergeCell ref="N5:R5"/>
    <mergeCell ref="B4:H4"/>
    <mergeCell ref="I5:J5"/>
    <mergeCell ref="K5:L5"/>
    <mergeCell ref="A27:I27"/>
    <mergeCell ref="J27:T27"/>
    <mergeCell ref="A26:T26"/>
    <mergeCell ref="B5:D5"/>
    <mergeCell ref="E5:G5"/>
    <mergeCell ref="S5:T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T21 B23:T25 B22:M22 O22:T22 B19:R19 T19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4"/>
  <sheetViews>
    <sheetView showGridLines="0" zoomScaleNormal="100" zoomScaleSheetLayoutView="100" workbookViewId="0">
      <selection activeCell="C1" sqref="C1"/>
    </sheetView>
  </sheetViews>
  <sheetFormatPr defaultRowHeight="11.25"/>
  <cols>
    <col min="1" max="1" width="8.28515625" style="4" customWidth="1"/>
    <col min="2" max="3" width="5.42578125" style="4" customWidth="1"/>
    <col min="4" max="4" width="6.5703125" style="4" customWidth="1"/>
    <col min="5" max="5" width="7.7109375" style="4" customWidth="1"/>
    <col min="6" max="6" width="4.140625" style="4" customWidth="1"/>
    <col min="7" max="7" width="7.7109375" style="4" customWidth="1"/>
    <col min="8" max="13" width="6.7109375" style="4" customWidth="1"/>
    <col min="14" max="14" width="7.5703125" style="4" customWidth="1"/>
    <col min="15" max="18" width="7.28515625" style="4" customWidth="1"/>
    <col min="19" max="20" width="6.7109375" style="4" customWidth="1"/>
    <col min="21" max="21" width="8" style="4" customWidth="1"/>
    <col min="22" max="22" width="9.28515625" style="4" bestFit="1" customWidth="1"/>
    <col min="23" max="23" width="11.42578125" style="4" bestFit="1" customWidth="1"/>
    <col min="24" max="262" width="9.140625" style="4"/>
    <col min="263" max="275" width="10.7109375" style="4" customWidth="1"/>
    <col min="276" max="518" width="9.140625" style="4"/>
    <col min="519" max="531" width="10.7109375" style="4" customWidth="1"/>
    <col min="532" max="774" width="9.140625" style="4"/>
    <col min="775" max="787" width="10.7109375" style="4" customWidth="1"/>
    <col min="788" max="1030" width="9.140625" style="4"/>
    <col min="1031" max="1043" width="10.7109375" style="4" customWidth="1"/>
    <col min="1044" max="1286" width="9.140625" style="4"/>
    <col min="1287" max="1299" width="10.7109375" style="4" customWidth="1"/>
    <col min="1300" max="1542" width="9.140625" style="4"/>
    <col min="1543" max="1555" width="10.7109375" style="4" customWidth="1"/>
    <col min="1556" max="1798" width="9.140625" style="4"/>
    <col min="1799" max="1811" width="10.7109375" style="4" customWidth="1"/>
    <col min="1812" max="2054" width="9.140625" style="4"/>
    <col min="2055" max="2067" width="10.7109375" style="4" customWidth="1"/>
    <col min="2068" max="2310" width="9.140625" style="4"/>
    <col min="2311" max="2323" width="10.7109375" style="4" customWidth="1"/>
    <col min="2324" max="2566" width="9.140625" style="4"/>
    <col min="2567" max="2579" width="10.7109375" style="4" customWidth="1"/>
    <col min="2580" max="2822" width="9.140625" style="4"/>
    <col min="2823" max="2835" width="10.7109375" style="4" customWidth="1"/>
    <col min="2836" max="3078" width="9.140625" style="4"/>
    <col min="3079" max="3091" width="10.7109375" style="4" customWidth="1"/>
    <col min="3092" max="3334" width="9.140625" style="4"/>
    <col min="3335" max="3347" width="10.7109375" style="4" customWidth="1"/>
    <col min="3348" max="3590" width="9.140625" style="4"/>
    <col min="3591" max="3603" width="10.7109375" style="4" customWidth="1"/>
    <col min="3604" max="3846" width="9.140625" style="4"/>
    <col min="3847" max="3859" width="10.7109375" style="4" customWidth="1"/>
    <col min="3860" max="4102" width="9.140625" style="4"/>
    <col min="4103" max="4115" width="10.7109375" style="4" customWidth="1"/>
    <col min="4116" max="4358" width="9.140625" style="4"/>
    <col min="4359" max="4371" width="10.7109375" style="4" customWidth="1"/>
    <col min="4372" max="4614" width="9.140625" style="4"/>
    <col min="4615" max="4627" width="10.7109375" style="4" customWidth="1"/>
    <col min="4628" max="4870" width="9.140625" style="4"/>
    <col min="4871" max="4883" width="10.7109375" style="4" customWidth="1"/>
    <col min="4884" max="5126" width="9.140625" style="4"/>
    <col min="5127" max="5139" width="10.7109375" style="4" customWidth="1"/>
    <col min="5140" max="5382" width="9.140625" style="4"/>
    <col min="5383" max="5395" width="10.7109375" style="4" customWidth="1"/>
    <col min="5396" max="5638" width="9.140625" style="4"/>
    <col min="5639" max="5651" width="10.7109375" style="4" customWidth="1"/>
    <col min="5652" max="5894" width="9.140625" style="4"/>
    <col min="5895" max="5907" width="10.7109375" style="4" customWidth="1"/>
    <col min="5908" max="6150" width="9.140625" style="4"/>
    <col min="6151" max="6163" width="10.7109375" style="4" customWidth="1"/>
    <col min="6164" max="6406" width="9.140625" style="4"/>
    <col min="6407" max="6419" width="10.7109375" style="4" customWidth="1"/>
    <col min="6420" max="6662" width="9.140625" style="4"/>
    <col min="6663" max="6675" width="10.7109375" style="4" customWidth="1"/>
    <col min="6676" max="6918" width="9.140625" style="4"/>
    <col min="6919" max="6931" width="10.7109375" style="4" customWidth="1"/>
    <col min="6932" max="7174" width="9.140625" style="4"/>
    <col min="7175" max="7187" width="10.7109375" style="4" customWidth="1"/>
    <col min="7188" max="7430" width="9.140625" style="4"/>
    <col min="7431" max="7443" width="10.7109375" style="4" customWidth="1"/>
    <col min="7444" max="7686" width="9.140625" style="4"/>
    <col min="7687" max="7699" width="10.7109375" style="4" customWidth="1"/>
    <col min="7700" max="7942" width="9.140625" style="4"/>
    <col min="7943" max="7955" width="10.7109375" style="4" customWidth="1"/>
    <col min="7956" max="8198" width="9.140625" style="4"/>
    <col min="8199" max="8211" width="10.7109375" style="4" customWidth="1"/>
    <col min="8212" max="8454" width="9.140625" style="4"/>
    <col min="8455" max="8467" width="10.7109375" style="4" customWidth="1"/>
    <col min="8468" max="8710" width="9.140625" style="4"/>
    <col min="8711" max="8723" width="10.7109375" style="4" customWidth="1"/>
    <col min="8724" max="8966" width="9.140625" style="4"/>
    <col min="8967" max="8979" width="10.7109375" style="4" customWidth="1"/>
    <col min="8980" max="9222" width="9.140625" style="4"/>
    <col min="9223" max="9235" width="10.7109375" style="4" customWidth="1"/>
    <col min="9236" max="9478" width="9.140625" style="4"/>
    <col min="9479" max="9491" width="10.7109375" style="4" customWidth="1"/>
    <col min="9492" max="9734" width="9.140625" style="4"/>
    <col min="9735" max="9747" width="10.7109375" style="4" customWidth="1"/>
    <col min="9748" max="9990" width="9.140625" style="4"/>
    <col min="9991" max="10003" width="10.7109375" style="4" customWidth="1"/>
    <col min="10004" max="10246" width="9.140625" style="4"/>
    <col min="10247" max="10259" width="10.7109375" style="4" customWidth="1"/>
    <col min="10260" max="10502" width="9.140625" style="4"/>
    <col min="10503" max="10515" width="10.7109375" style="4" customWidth="1"/>
    <col min="10516" max="10758" width="9.140625" style="4"/>
    <col min="10759" max="10771" width="10.7109375" style="4" customWidth="1"/>
    <col min="10772" max="11014" width="9.140625" style="4"/>
    <col min="11015" max="11027" width="10.7109375" style="4" customWidth="1"/>
    <col min="11028" max="11270" width="9.140625" style="4"/>
    <col min="11271" max="11283" width="10.7109375" style="4" customWidth="1"/>
    <col min="11284" max="11526" width="9.140625" style="4"/>
    <col min="11527" max="11539" width="10.7109375" style="4" customWidth="1"/>
    <col min="11540" max="11782" width="9.140625" style="4"/>
    <col min="11783" max="11795" width="10.7109375" style="4" customWidth="1"/>
    <col min="11796" max="12038" width="9.140625" style="4"/>
    <col min="12039" max="12051" width="10.7109375" style="4" customWidth="1"/>
    <col min="12052" max="12294" width="9.140625" style="4"/>
    <col min="12295" max="12307" width="10.7109375" style="4" customWidth="1"/>
    <col min="12308" max="12550" width="9.140625" style="4"/>
    <col min="12551" max="12563" width="10.7109375" style="4" customWidth="1"/>
    <col min="12564" max="12806" width="9.140625" style="4"/>
    <col min="12807" max="12819" width="10.7109375" style="4" customWidth="1"/>
    <col min="12820" max="13062" width="9.140625" style="4"/>
    <col min="13063" max="13075" width="10.7109375" style="4" customWidth="1"/>
    <col min="13076" max="13318" width="9.140625" style="4"/>
    <col min="13319" max="13331" width="10.7109375" style="4" customWidth="1"/>
    <col min="13332" max="13574" width="9.140625" style="4"/>
    <col min="13575" max="13587" width="10.7109375" style="4" customWidth="1"/>
    <col min="13588" max="13830" width="9.140625" style="4"/>
    <col min="13831" max="13843" width="10.7109375" style="4" customWidth="1"/>
    <col min="13844" max="14086" width="9.140625" style="4"/>
    <col min="14087" max="14099" width="10.7109375" style="4" customWidth="1"/>
    <col min="14100" max="14342" width="9.140625" style="4"/>
    <col min="14343" max="14355" width="10.7109375" style="4" customWidth="1"/>
    <col min="14356" max="14598" width="9.140625" style="4"/>
    <col min="14599" max="14611" width="10.7109375" style="4" customWidth="1"/>
    <col min="14612" max="14854" width="9.140625" style="4"/>
    <col min="14855" max="14867" width="10.7109375" style="4" customWidth="1"/>
    <col min="14868" max="15110" width="9.140625" style="4"/>
    <col min="15111" max="15123" width="10.7109375" style="4" customWidth="1"/>
    <col min="15124" max="15366" width="9.140625" style="4"/>
    <col min="15367" max="15379" width="10.7109375" style="4" customWidth="1"/>
    <col min="15380" max="15622" width="9.140625" style="4"/>
    <col min="15623" max="15635" width="10.7109375" style="4" customWidth="1"/>
    <col min="15636" max="15878" width="9.140625" style="4"/>
    <col min="15879" max="15891" width="10.7109375" style="4" customWidth="1"/>
    <col min="15892" max="16134" width="9.140625" style="4"/>
    <col min="16135" max="16147" width="10.7109375" style="4" customWidth="1"/>
    <col min="16148" max="16384" width="9.140625" style="4"/>
  </cols>
  <sheetData>
    <row r="1" spans="1:36" ht="18">
      <c r="A1" s="425" t="s">
        <v>281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</row>
    <row r="2" spans="1:36" ht="6" customHeight="1">
      <c r="A2" s="216"/>
      <c r="B2" s="439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</row>
    <row r="3" spans="1:36" ht="18" customHeight="1">
      <c r="A3" s="227">
        <f>'3.1'!A4</f>
        <v>2026</v>
      </c>
      <c r="B3" s="431" t="s">
        <v>156</v>
      </c>
      <c r="C3" s="437"/>
      <c r="D3" s="437"/>
      <c r="E3" s="437"/>
      <c r="F3" s="437"/>
      <c r="G3" s="433"/>
      <c r="H3" s="437" t="s">
        <v>59</v>
      </c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</row>
    <row r="4" spans="1:36" ht="18" customHeight="1">
      <c r="A4" s="190"/>
      <c r="B4" s="224"/>
      <c r="C4" s="225"/>
      <c r="D4" s="225"/>
      <c r="E4" s="225"/>
      <c r="F4" s="225"/>
      <c r="G4" s="226"/>
      <c r="H4" s="228" t="s">
        <v>246</v>
      </c>
      <c r="I4" s="228"/>
      <c r="J4" s="228"/>
      <c r="K4" s="228"/>
      <c r="L4" s="228"/>
      <c r="M4" s="441" t="s">
        <v>252</v>
      </c>
      <c r="N4" s="228"/>
      <c r="O4" s="229" t="s">
        <v>206</v>
      </c>
      <c r="P4" s="228"/>
      <c r="Q4" s="228"/>
      <c r="R4" s="228"/>
      <c r="S4" s="228"/>
      <c r="T4" s="441" t="s">
        <v>252</v>
      </c>
      <c r="U4" s="228"/>
    </row>
    <row r="5" spans="1:36" ht="16.5" customHeight="1">
      <c r="A5" s="193"/>
      <c r="B5" s="210" t="s">
        <v>4</v>
      </c>
      <c r="C5" s="211" t="s">
        <v>5</v>
      </c>
      <c r="D5" s="175" t="s">
        <v>6</v>
      </c>
      <c r="E5" s="211" t="s">
        <v>7</v>
      </c>
      <c r="F5" s="211" t="s">
        <v>90</v>
      </c>
      <c r="G5" s="212" t="s">
        <v>0</v>
      </c>
      <c r="H5" s="211" t="s">
        <v>4</v>
      </c>
      <c r="I5" s="211" t="s">
        <v>5</v>
      </c>
      <c r="J5" s="175" t="s">
        <v>6</v>
      </c>
      <c r="K5" s="211" t="s">
        <v>7</v>
      </c>
      <c r="L5" s="211" t="s">
        <v>90</v>
      </c>
      <c r="M5" s="442"/>
      <c r="N5" s="211" t="s">
        <v>0</v>
      </c>
      <c r="O5" s="210" t="s">
        <v>4</v>
      </c>
      <c r="P5" s="211" t="s">
        <v>5</v>
      </c>
      <c r="Q5" s="175" t="s">
        <v>6</v>
      </c>
      <c r="R5" s="211" t="s">
        <v>7</v>
      </c>
      <c r="S5" s="211" t="s">
        <v>90</v>
      </c>
      <c r="T5" s="442"/>
      <c r="U5" s="211" t="s">
        <v>0</v>
      </c>
    </row>
    <row r="6" spans="1:36" ht="12.95" customHeight="1">
      <c r="A6" s="157" t="s">
        <v>157</v>
      </c>
      <c r="B6" s="219">
        <v>1521</v>
      </c>
      <c r="C6" s="214">
        <v>5610</v>
      </c>
      <c r="D6" s="215">
        <v>200752</v>
      </c>
      <c r="E6" s="215">
        <v>2492058</v>
      </c>
      <c r="F6" s="215">
        <v>281</v>
      </c>
      <c r="G6" s="221">
        <v>2700222</v>
      </c>
      <c r="H6" s="158">
        <v>476.91904661626603</v>
      </c>
      <c r="I6" s="158">
        <v>117.566306983765</v>
      </c>
      <c r="J6" s="159">
        <v>216.07482559270699</v>
      </c>
      <c r="K6" s="159">
        <v>398.17630281963102</v>
      </c>
      <c r="L6" s="159">
        <v>7.5347471755589996</v>
      </c>
      <c r="M6" s="159">
        <v>16.432916682252998</v>
      </c>
      <c r="N6" s="159">
        <v>1232.704145870181</v>
      </c>
      <c r="O6" s="164">
        <v>5223.1655511479994</v>
      </c>
      <c r="P6" s="158">
        <v>1287.2403050309999</v>
      </c>
      <c r="Q6" s="159">
        <v>2365.6677023519073</v>
      </c>
      <c r="R6" s="159">
        <v>4359.1085989361482</v>
      </c>
      <c r="S6" s="159">
        <v>82.472217974000003</v>
      </c>
      <c r="T6" s="159">
        <v>179.94783733400001</v>
      </c>
      <c r="U6" s="159">
        <v>13497.602212775055</v>
      </c>
      <c r="V6" s="48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</row>
    <row r="7" spans="1:36" ht="12.95" customHeight="1">
      <c r="A7" s="157" t="s">
        <v>158</v>
      </c>
      <c r="B7" s="219">
        <v>1501</v>
      </c>
      <c r="C7" s="215">
        <v>5624</v>
      </c>
      <c r="D7" s="215">
        <v>200681</v>
      </c>
      <c r="E7" s="215">
        <v>2489631</v>
      </c>
      <c r="F7" s="215">
        <v>280</v>
      </c>
      <c r="G7" s="221">
        <v>2697717</v>
      </c>
      <c r="H7" s="158">
        <v>370.67405727133598</v>
      </c>
      <c r="I7" s="159">
        <v>86.765138812574989</v>
      </c>
      <c r="J7" s="159">
        <v>159.71680687567797</v>
      </c>
      <c r="K7" s="159">
        <v>283.7950750050141</v>
      </c>
      <c r="L7" s="159">
        <v>7.0087968772979989</v>
      </c>
      <c r="M7" s="159">
        <v>16.583486299491</v>
      </c>
      <c r="N7" s="159">
        <v>924.54336114139198</v>
      </c>
      <c r="O7" s="164">
        <v>4046.431190156</v>
      </c>
      <c r="P7" s="159">
        <v>946.64875306700003</v>
      </c>
      <c r="Q7" s="159">
        <v>1742.4731005742321</v>
      </c>
      <c r="R7" s="159">
        <v>3096.0376197975643</v>
      </c>
      <c r="S7" s="159">
        <v>76.446783889000002</v>
      </c>
      <c r="T7" s="159">
        <v>180.97940418600001</v>
      </c>
      <c r="U7" s="159">
        <v>10089.016851669796</v>
      </c>
      <c r="V7" s="50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</row>
    <row r="8" spans="1:36" ht="12.95" customHeight="1">
      <c r="A8" s="160" t="s">
        <v>159</v>
      </c>
      <c r="B8" s="220">
        <v>1502</v>
      </c>
      <c r="C8" s="218">
        <v>5409</v>
      </c>
      <c r="D8" s="218">
        <v>200714</v>
      </c>
      <c r="E8" s="218">
        <v>2487318</v>
      </c>
      <c r="F8" s="218">
        <v>280</v>
      </c>
      <c r="G8" s="222">
        <v>2695223</v>
      </c>
      <c r="H8" s="161">
        <v>309.08632668699698</v>
      </c>
      <c r="I8" s="162">
        <v>67.911008976974003</v>
      </c>
      <c r="J8" s="162">
        <v>117.31622161524001</v>
      </c>
      <c r="K8" s="162">
        <v>206.371392757065</v>
      </c>
      <c r="L8" s="162">
        <v>7.515497395093</v>
      </c>
      <c r="M8" s="162">
        <v>12.805241566671</v>
      </c>
      <c r="N8" s="162">
        <v>721.00568899804</v>
      </c>
      <c r="O8" s="165">
        <v>3392.9281344380001</v>
      </c>
      <c r="P8" s="162">
        <v>745.52245482600006</v>
      </c>
      <c r="Q8" s="162">
        <v>1287.7757249696497</v>
      </c>
      <c r="R8" s="162">
        <v>2265.2352954343933</v>
      </c>
      <c r="S8" s="162">
        <v>82.474592754</v>
      </c>
      <c r="T8" s="162">
        <v>140.57878254300005</v>
      </c>
      <c r="U8" s="162">
        <v>7914.5149849650425</v>
      </c>
      <c r="V8" s="51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</row>
    <row r="9" spans="1:36" ht="12.95" customHeight="1">
      <c r="A9" s="157" t="s">
        <v>160</v>
      </c>
      <c r="B9" s="219"/>
      <c r="C9" s="215"/>
      <c r="D9" s="215"/>
      <c r="E9" s="215"/>
      <c r="F9" s="215"/>
      <c r="G9" s="221"/>
      <c r="H9" s="158"/>
      <c r="I9" s="159"/>
      <c r="J9" s="159"/>
      <c r="K9" s="159"/>
      <c r="L9" s="159"/>
      <c r="M9" s="159"/>
      <c r="N9" s="159"/>
      <c r="O9" s="164"/>
      <c r="P9" s="159"/>
      <c r="Q9" s="159"/>
      <c r="R9" s="159"/>
      <c r="S9" s="159"/>
      <c r="T9" s="159"/>
      <c r="U9" s="159"/>
      <c r="V9" s="50"/>
      <c r="W9" s="49"/>
      <c r="X9" s="49"/>
      <c r="Y9" s="49"/>
    </row>
    <row r="10" spans="1:36" ht="12.95" customHeight="1">
      <c r="A10" s="157" t="s">
        <v>161</v>
      </c>
      <c r="B10" s="219"/>
      <c r="C10" s="215"/>
      <c r="D10" s="215"/>
      <c r="E10" s="215"/>
      <c r="F10" s="215"/>
      <c r="G10" s="221"/>
      <c r="H10" s="158"/>
      <c r="I10" s="159"/>
      <c r="J10" s="159"/>
      <c r="K10" s="159"/>
      <c r="L10" s="159"/>
      <c r="M10" s="159"/>
      <c r="N10" s="159"/>
      <c r="O10" s="164"/>
      <c r="P10" s="159"/>
      <c r="Q10" s="159"/>
      <c r="R10" s="159"/>
      <c r="S10" s="159"/>
      <c r="T10" s="159"/>
      <c r="U10" s="159"/>
      <c r="V10" s="50"/>
      <c r="W10" s="49"/>
      <c r="X10" s="49"/>
      <c r="Y10" s="49"/>
    </row>
    <row r="11" spans="1:36" ht="12.95" customHeight="1">
      <c r="A11" s="160" t="s">
        <v>162</v>
      </c>
      <c r="B11" s="220"/>
      <c r="C11" s="218"/>
      <c r="D11" s="218"/>
      <c r="E11" s="218"/>
      <c r="F11" s="218"/>
      <c r="G11" s="222"/>
      <c r="H11" s="161"/>
      <c r="I11" s="162"/>
      <c r="J11" s="162"/>
      <c r="K11" s="162"/>
      <c r="L11" s="162"/>
      <c r="M11" s="162"/>
      <c r="N11" s="162"/>
      <c r="O11" s="165"/>
      <c r="P11" s="162"/>
      <c r="Q11" s="162"/>
      <c r="R11" s="162"/>
      <c r="S11" s="162"/>
      <c r="T11" s="162"/>
      <c r="U11" s="162"/>
      <c r="V11" s="50"/>
      <c r="W11" s="49"/>
      <c r="X11" s="49"/>
      <c r="Y11" s="49"/>
    </row>
    <row r="12" spans="1:36" ht="12.95" customHeight="1">
      <c r="A12" s="157" t="s">
        <v>163</v>
      </c>
      <c r="B12" s="219"/>
      <c r="C12" s="215"/>
      <c r="D12" s="215"/>
      <c r="E12" s="215"/>
      <c r="F12" s="215"/>
      <c r="G12" s="221"/>
      <c r="H12" s="158"/>
      <c r="I12" s="159"/>
      <c r="J12" s="159"/>
      <c r="K12" s="159"/>
      <c r="L12" s="159"/>
      <c r="M12" s="159"/>
      <c r="N12" s="159"/>
      <c r="O12" s="164"/>
      <c r="P12" s="159"/>
      <c r="Q12" s="159"/>
      <c r="R12" s="159"/>
      <c r="S12" s="159"/>
      <c r="T12" s="159"/>
      <c r="U12" s="159"/>
      <c r="V12" s="50"/>
      <c r="W12" s="49"/>
      <c r="X12" s="49"/>
      <c r="Y12" s="49"/>
    </row>
    <row r="13" spans="1:36" ht="12.95" customHeight="1">
      <c r="A13" s="157" t="s">
        <v>164</v>
      </c>
      <c r="B13" s="219"/>
      <c r="C13" s="215"/>
      <c r="D13" s="215"/>
      <c r="E13" s="215"/>
      <c r="F13" s="215"/>
      <c r="G13" s="221"/>
      <c r="H13" s="158"/>
      <c r="I13" s="159"/>
      <c r="J13" s="159"/>
      <c r="K13" s="159"/>
      <c r="L13" s="159"/>
      <c r="M13" s="159"/>
      <c r="N13" s="159"/>
      <c r="O13" s="164"/>
      <c r="P13" s="159"/>
      <c r="Q13" s="159"/>
      <c r="R13" s="159"/>
      <c r="S13" s="159"/>
      <c r="T13" s="159"/>
      <c r="U13" s="159"/>
      <c r="V13" s="50"/>
      <c r="W13" s="49"/>
      <c r="X13" s="49"/>
      <c r="Y13" s="49"/>
    </row>
    <row r="14" spans="1:36" ht="12.95" customHeight="1">
      <c r="A14" s="160" t="s">
        <v>165</v>
      </c>
      <c r="B14" s="220"/>
      <c r="C14" s="218"/>
      <c r="D14" s="218"/>
      <c r="E14" s="218"/>
      <c r="F14" s="218"/>
      <c r="G14" s="222"/>
      <c r="H14" s="161"/>
      <c r="I14" s="162"/>
      <c r="J14" s="162"/>
      <c r="K14" s="162"/>
      <c r="L14" s="162"/>
      <c r="M14" s="162"/>
      <c r="N14" s="162"/>
      <c r="O14" s="165"/>
      <c r="P14" s="162"/>
      <c r="Q14" s="162"/>
      <c r="R14" s="162"/>
      <c r="S14" s="162"/>
      <c r="T14" s="162"/>
      <c r="U14" s="162"/>
      <c r="V14" s="50"/>
      <c r="W14" s="49"/>
      <c r="X14" s="49"/>
      <c r="Y14" s="49"/>
    </row>
    <row r="15" spans="1:36" ht="12.95" customHeight="1">
      <c r="A15" s="157" t="s">
        <v>166</v>
      </c>
      <c r="B15" s="219"/>
      <c r="C15" s="215"/>
      <c r="D15" s="215"/>
      <c r="E15" s="215"/>
      <c r="F15" s="215"/>
      <c r="G15" s="221"/>
      <c r="H15" s="158"/>
      <c r="I15" s="159"/>
      <c r="J15" s="159"/>
      <c r="K15" s="159"/>
      <c r="L15" s="159"/>
      <c r="M15" s="159"/>
      <c r="N15" s="159"/>
      <c r="O15" s="164"/>
      <c r="P15" s="159"/>
      <c r="Q15" s="159"/>
      <c r="R15" s="159"/>
      <c r="S15" s="159"/>
      <c r="T15" s="159"/>
      <c r="U15" s="159"/>
      <c r="V15" s="50"/>
      <c r="W15" s="49"/>
      <c r="X15" s="49"/>
      <c r="Y15" s="49"/>
    </row>
    <row r="16" spans="1:36" ht="12.95" customHeight="1">
      <c r="A16" s="157" t="s">
        <v>167</v>
      </c>
      <c r="B16" s="219"/>
      <c r="C16" s="215"/>
      <c r="D16" s="215"/>
      <c r="E16" s="215"/>
      <c r="F16" s="215"/>
      <c r="G16" s="221"/>
      <c r="H16" s="158"/>
      <c r="I16" s="159"/>
      <c r="J16" s="159"/>
      <c r="K16" s="159"/>
      <c r="L16" s="159"/>
      <c r="M16" s="159"/>
      <c r="N16" s="159"/>
      <c r="O16" s="164"/>
      <c r="P16" s="159"/>
      <c r="Q16" s="159"/>
      <c r="R16" s="159"/>
      <c r="S16" s="159"/>
      <c r="T16" s="159"/>
      <c r="U16" s="159"/>
      <c r="V16" s="50"/>
      <c r="W16" s="49"/>
      <c r="X16" s="49"/>
      <c r="Y16" s="49"/>
    </row>
    <row r="17" spans="1:25" ht="12.95" customHeight="1">
      <c r="A17" s="160" t="s">
        <v>168</v>
      </c>
      <c r="B17" s="220"/>
      <c r="C17" s="218"/>
      <c r="D17" s="218"/>
      <c r="E17" s="218"/>
      <c r="F17" s="218"/>
      <c r="G17" s="222"/>
      <c r="H17" s="161"/>
      <c r="I17" s="162"/>
      <c r="J17" s="162"/>
      <c r="K17" s="162"/>
      <c r="L17" s="162"/>
      <c r="M17" s="162"/>
      <c r="N17" s="162"/>
      <c r="O17" s="165"/>
      <c r="P17" s="162"/>
      <c r="Q17" s="162"/>
      <c r="R17" s="162"/>
      <c r="S17" s="162"/>
      <c r="T17" s="162"/>
      <c r="U17" s="162"/>
      <c r="V17" s="50"/>
      <c r="W17" s="49"/>
      <c r="X17" s="49"/>
      <c r="Y17" s="49"/>
    </row>
    <row r="18" spans="1:25" ht="12.95" customHeight="1">
      <c r="A18" s="157" t="s">
        <v>47</v>
      </c>
      <c r="B18" s="219">
        <f>B8</f>
        <v>1502</v>
      </c>
      <c r="C18" s="214">
        <f t="shared" ref="C18:E18" si="0">C8</f>
        <v>5409</v>
      </c>
      <c r="D18" s="214">
        <f t="shared" si="0"/>
        <v>200714</v>
      </c>
      <c r="E18" s="214">
        <f t="shared" si="0"/>
        <v>2487318</v>
      </c>
      <c r="F18" s="214">
        <f t="shared" ref="F18" si="1">F8</f>
        <v>280</v>
      </c>
      <c r="G18" s="223">
        <f>G8</f>
        <v>2695223</v>
      </c>
      <c r="H18" s="158">
        <f>SUM(H6:H8)</f>
        <v>1156.6794305745989</v>
      </c>
      <c r="I18" s="158">
        <f>SUM(I6:I8)</f>
        <v>272.24245477331402</v>
      </c>
      <c r="J18" s="158">
        <f t="shared" ref="J18:K18" si="2">SUM(J6:J8)</f>
        <v>493.10785408362494</v>
      </c>
      <c r="K18" s="158">
        <f t="shared" si="2"/>
        <v>888.34277058171006</v>
      </c>
      <c r="L18" s="158">
        <f t="shared" ref="L18" si="3">SUM(L6:L8)</f>
        <v>22.059041447949998</v>
      </c>
      <c r="M18" s="158">
        <f t="shared" ref="M18" si="4">SUM(M6:M8)</f>
        <v>45.821644548414994</v>
      </c>
      <c r="N18" s="158">
        <f>SUM(N6:N8)</f>
        <v>2878.253196009613</v>
      </c>
      <c r="O18" s="164">
        <f>SUM(O6:O8)</f>
        <v>12662.524875741999</v>
      </c>
      <c r="P18" s="158">
        <f>SUM(P6:P8)</f>
        <v>2979.4115129239999</v>
      </c>
      <c r="Q18" s="158">
        <f t="shared" ref="Q18:U18" si="5">SUM(Q6:Q8)</f>
        <v>5395.9165278957889</v>
      </c>
      <c r="R18" s="158">
        <f t="shared" si="5"/>
        <v>9720.3815141681062</v>
      </c>
      <c r="S18" s="158">
        <f t="shared" ref="S18" si="6">SUM(S6:S8)</f>
        <v>241.39359461700002</v>
      </c>
      <c r="T18" s="158">
        <f t="shared" ref="T18" si="7">SUM(T6:T8)</f>
        <v>501.5060240630001</v>
      </c>
      <c r="U18" s="158">
        <f t="shared" si="5"/>
        <v>31501.134049409891</v>
      </c>
    </row>
    <row r="19" spans="1:25" ht="12.95" customHeight="1">
      <c r="A19" s="157" t="s">
        <v>55</v>
      </c>
      <c r="B19" s="378">
        <f>B11</f>
        <v>0</v>
      </c>
      <c r="C19" s="379">
        <f t="shared" ref="C19:G19" si="8">C11</f>
        <v>0</v>
      </c>
      <c r="D19" s="379">
        <f t="shared" si="8"/>
        <v>0</v>
      </c>
      <c r="E19" s="379">
        <f t="shared" si="8"/>
        <v>0</v>
      </c>
      <c r="F19" s="379">
        <f t="shared" ref="F19" si="9">F11</f>
        <v>0</v>
      </c>
      <c r="G19" s="380">
        <f t="shared" si="8"/>
        <v>0</v>
      </c>
      <c r="H19" s="358">
        <f>SUM(H9:H11)</f>
        <v>0</v>
      </c>
      <c r="I19" s="358">
        <f>SUM(I9:I11)</f>
        <v>0</v>
      </c>
      <c r="J19" s="358">
        <f t="shared" ref="J19:N19" si="10">SUM(J9:J11)</f>
        <v>0</v>
      </c>
      <c r="K19" s="358">
        <f t="shared" si="10"/>
        <v>0</v>
      </c>
      <c r="L19" s="358">
        <f t="shared" ref="L19" si="11">SUM(L9:L11)</f>
        <v>0</v>
      </c>
      <c r="M19" s="358">
        <f t="shared" ref="M19" si="12">SUM(M9:M11)</f>
        <v>0</v>
      </c>
      <c r="N19" s="358">
        <f t="shared" si="10"/>
        <v>0</v>
      </c>
      <c r="O19" s="357">
        <f>SUM(O9:O11)</f>
        <v>0</v>
      </c>
      <c r="P19" s="358">
        <f>SUM(P9:P11)</f>
        <v>0</v>
      </c>
      <c r="Q19" s="358">
        <f t="shared" ref="Q19:U19" si="13">SUM(Q9:Q11)</f>
        <v>0</v>
      </c>
      <c r="R19" s="358">
        <f t="shared" si="13"/>
        <v>0</v>
      </c>
      <c r="S19" s="358">
        <f t="shared" ref="S19" si="14">SUM(S9:S11)</f>
        <v>0</v>
      </c>
      <c r="T19" s="358">
        <f t="shared" ref="T19" si="15">SUM(T9:T11)</f>
        <v>0</v>
      </c>
      <c r="U19" s="358">
        <f t="shared" si="13"/>
        <v>0</v>
      </c>
    </row>
    <row r="20" spans="1:25" ht="12.95" customHeight="1">
      <c r="A20" s="157" t="s">
        <v>62</v>
      </c>
      <c r="B20" s="378">
        <f>B14</f>
        <v>0</v>
      </c>
      <c r="C20" s="379">
        <f t="shared" ref="C20:G20" si="16">C14</f>
        <v>0</v>
      </c>
      <c r="D20" s="379">
        <f t="shared" si="16"/>
        <v>0</v>
      </c>
      <c r="E20" s="379">
        <f t="shared" si="16"/>
        <v>0</v>
      </c>
      <c r="F20" s="379">
        <f t="shared" ref="F20" si="17">F14</f>
        <v>0</v>
      </c>
      <c r="G20" s="380">
        <f t="shared" si="16"/>
        <v>0</v>
      </c>
      <c r="H20" s="358">
        <f>SUM(H12:H14)</f>
        <v>0</v>
      </c>
      <c r="I20" s="358">
        <f>SUM(I12:I14)</f>
        <v>0</v>
      </c>
      <c r="J20" s="358">
        <f t="shared" ref="J20:N20" si="18">SUM(J12:J14)</f>
        <v>0</v>
      </c>
      <c r="K20" s="358">
        <f t="shared" si="18"/>
        <v>0</v>
      </c>
      <c r="L20" s="358">
        <f t="shared" ref="L20" si="19">SUM(L12:L14)</f>
        <v>0</v>
      </c>
      <c r="M20" s="358">
        <f t="shared" ref="M20" si="20">SUM(M12:M14)</f>
        <v>0</v>
      </c>
      <c r="N20" s="358">
        <f t="shared" si="18"/>
        <v>0</v>
      </c>
      <c r="O20" s="357">
        <f>SUM(O12:O14)</f>
        <v>0</v>
      </c>
      <c r="P20" s="358">
        <f>SUM(P12:P14)</f>
        <v>0</v>
      </c>
      <c r="Q20" s="358">
        <f t="shared" ref="Q20:U20" si="21">SUM(Q12:Q14)</f>
        <v>0</v>
      </c>
      <c r="R20" s="358">
        <f t="shared" si="21"/>
        <v>0</v>
      </c>
      <c r="S20" s="358">
        <f t="shared" ref="S20" si="22">SUM(S12:S14)</f>
        <v>0</v>
      </c>
      <c r="T20" s="358">
        <f t="shared" ref="T20" si="23">SUM(T12:T14)</f>
        <v>0</v>
      </c>
      <c r="U20" s="358">
        <f t="shared" si="21"/>
        <v>0</v>
      </c>
    </row>
    <row r="21" spans="1:25" ht="12.95" customHeight="1">
      <c r="A21" s="160" t="s">
        <v>56</v>
      </c>
      <c r="B21" s="381">
        <f>B17</f>
        <v>0</v>
      </c>
      <c r="C21" s="382">
        <f t="shared" ref="C21:E21" si="24">C17</f>
        <v>0</v>
      </c>
      <c r="D21" s="382">
        <f t="shared" si="24"/>
        <v>0</v>
      </c>
      <c r="E21" s="382">
        <f t="shared" si="24"/>
        <v>0</v>
      </c>
      <c r="F21" s="382">
        <f t="shared" ref="F21" si="25">F17</f>
        <v>0</v>
      </c>
      <c r="G21" s="383">
        <f>G17</f>
        <v>0</v>
      </c>
      <c r="H21" s="361">
        <f>SUM(H15:H17)</f>
        <v>0</v>
      </c>
      <c r="I21" s="361">
        <f>SUM(I15:I17)</f>
        <v>0</v>
      </c>
      <c r="J21" s="361">
        <f t="shared" ref="J21:N21" si="26">SUM(J15:J17)</f>
        <v>0</v>
      </c>
      <c r="K21" s="361">
        <f t="shared" si="26"/>
        <v>0</v>
      </c>
      <c r="L21" s="361">
        <f t="shared" ref="L21" si="27">SUM(L15:L17)</f>
        <v>0</v>
      </c>
      <c r="M21" s="361">
        <f t="shared" ref="M21" si="28">SUM(M15:M17)</f>
        <v>0</v>
      </c>
      <c r="N21" s="361">
        <f t="shared" si="26"/>
        <v>0</v>
      </c>
      <c r="O21" s="360">
        <f>SUM(O15:O17)</f>
        <v>0</v>
      </c>
      <c r="P21" s="361">
        <f>SUM(P15:P17)</f>
        <v>0</v>
      </c>
      <c r="Q21" s="361">
        <f t="shared" ref="Q21:U21" si="29">SUM(Q15:Q17)</f>
        <v>0</v>
      </c>
      <c r="R21" s="361">
        <f t="shared" si="29"/>
        <v>0</v>
      </c>
      <c r="S21" s="361">
        <f t="shared" ref="S21" si="30">SUM(S15:S17)</f>
        <v>0</v>
      </c>
      <c r="T21" s="361">
        <f t="shared" ref="T21" si="31">SUM(T15:T17)</f>
        <v>0</v>
      </c>
      <c r="U21" s="361">
        <f t="shared" si="29"/>
        <v>0</v>
      </c>
    </row>
    <row r="22" spans="1:25" ht="12.95" customHeight="1">
      <c r="A22" s="157" t="s">
        <v>57</v>
      </c>
      <c r="B22" s="378">
        <f>B11</f>
        <v>0</v>
      </c>
      <c r="C22" s="379">
        <f t="shared" ref="C22:G22" si="32">C11</f>
        <v>0</v>
      </c>
      <c r="D22" s="379">
        <f t="shared" si="32"/>
        <v>0</v>
      </c>
      <c r="E22" s="379">
        <f t="shared" si="32"/>
        <v>0</v>
      </c>
      <c r="F22" s="379">
        <f t="shared" ref="F22" si="33">F11</f>
        <v>0</v>
      </c>
      <c r="G22" s="380">
        <f t="shared" si="32"/>
        <v>0</v>
      </c>
      <c r="H22" s="358">
        <f>SUM(H6:H11)</f>
        <v>1156.6794305745989</v>
      </c>
      <c r="I22" s="358">
        <f>SUM(I6:I11)</f>
        <v>272.24245477331402</v>
      </c>
      <c r="J22" s="358">
        <f t="shared" ref="J22:N22" si="34">SUM(J6:J11)</f>
        <v>493.10785408362494</v>
      </c>
      <c r="K22" s="358">
        <f t="shared" si="34"/>
        <v>888.34277058171006</v>
      </c>
      <c r="L22" s="358">
        <f t="shared" ref="L22" si="35">SUM(L6:L11)</f>
        <v>22.059041447949998</v>
      </c>
      <c r="M22" s="358">
        <f t="shared" ref="M22" si="36">SUM(M6:M11)</f>
        <v>45.821644548414994</v>
      </c>
      <c r="N22" s="358">
        <f t="shared" si="34"/>
        <v>2878.253196009613</v>
      </c>
      <c r="O22" s="357">
        <f>SUM(O6:O11)</f>
        <v>12662.524875741999</v>
      </c>
      <c r="P22" s="358">
        <f>SUM(P6:P11)</f>
        <v>2979.4115129239999</v>
      </c>
      <c r="Q22" s="358">
        <f t="shared" ref="Q22:U22" si="37">SUM(Q6:Q11)</f>
        <v>5395.9165278957889</v>
      </c>
      <c r="R22" s="358">
        <f t="shared" si="37"/>
        <v>9720.3815141681062</v>
      </c>
      <c r="S22" s="358">
        <f t="shared" ref="S22" si="38">SUM(S6:S11)</f>
        <v>241.39359461700002</v>
      </c>
      <c r="T22" s="358">
        <f t="shared" ref="T22" si="39">SUM(T6:T11)</f>
        <v>501.5060240630001</v>
      </c>
      <c r="U22" s="358">
        <f t="shared" si="37"/>
        <v>31501.134049409891</v>
      </c>
    </row>
    <row r="23" spans="1:25" ht="12.95" customHeight="1">
      <c r="A23" s="160" t="s">
        <v>58</v>
      </c>
      <c r="B23" s="381">
        <f>B17</f>
        <v>0</v>
      </c>
      <c r="C23" s="382">
        <f t="shared" ref="C23:G23" si="40">C17</f>
        <v>0</v>
      </c>
      <c r="D23" s="382">
        <f t="shared" si="40"/>
        <v>0</v>
      </c>
      <c r="E23" s="382">
        <f t="shared" si="40"/>
        <v>0</v>
      </c>
      <c r="F23" s="382">
        <f t="shared" ref="F23" si="41">F17</f>
        <v>0</v>
      </c>
      <c r="G23" s="383">
        <f t="shared" si="40"/>
        <v>0</v>
      </c>
      <c r="H23" s="361">
        <f>SUM(H12:H17)</f>
        <v>0</v>
      </c>
      <c r="I23" s="361">
        <f>SUM(I12:I17)</f>
        <v>0</v>
      </c>
      <c r="J23" s="361">
        <f t="shared" ref="J23:N23" si="42">SUM(J12:J17)</f>
        <v>0</v>
      </c>
      <c r="K23" s="361">
        <f t="shared" si="42"/>
        <v>0</v>
      </c>
      <c r="L23" s="361">
        <f t="shared" ref="L23" si="43">SUM(L12:L17)</f>
        <v>0</v>
      </c>
      <c r="M23" s="361">
        <f t="shared" ref="M23" si="44">SUM(M12:M17)</f>
        <v>0</v>
      </c>
      <c r="N23" s="361">
        <f t="shared" si="42"/>
        <v>0</v>
      </c>
      <c r="O23" s="360">
        <f>SUM(O12:O17)</f>
        <v>0</v>
      </c>
      <c r="P23" s="361">
        <f>SUM(P12:P17)</f>
        <v>0</v>
      </c>
      <c r="Q23" s="361">
        <f t="shared" ref="Q23:U23" si="45">SUM(Q12:Q17)</f>
        <v>0</v>
      </c>
      <c r="R23" s="361">
        <f t="shared" si="45"/>
        <v>0</v>
      </c>
      <c r="S23" s="361">
        <f t="shared" ref="S23" si="46">SUM(S12:S17)</f>
        <v>0</v>
      </c>
      <c r="T23" s="361">
        <f t="shared" ref="T23" si="47">SUM(T12:T17)</f>
        <v>0</v>
      </c>
      <c r="U23" s="361">
        <f t="shared" si="45"/>
        <v>0</v>
      </c>
    </row>
    <row r="24" spans="1:25" ht="12.95" customHeight="1">
      <c r="A24" s="160" t="s">
        <v>169</v>
      </c>
      <c r="B24" s="381">
        <f>B17</f>
        <v>0</v>
      </c>
      <c r="C24" s="382">
        <f t="shared" ref="C24:G24" si="48">C17</f>
        <v>0</v>
      </c>
      <c r="D24" s="382">
        <f t="shared" si="48"/>
        <v>0</v>
      </c>
      <c r="E24" s="382">
        <f t="shared" si="48"/>
        <v>0</v>
      </c>
      <c r="F24" s="382">
        <f t="shared" ref="F24" si="49">F17</f>
        <v>0</v>
      </c>
      <c r="G24" s="383">
        <f t="shared" si="48"/>
        <v>0</v>
      </c>
      <c r="H24" s="361">
        <f>SUM(H6:H17)</f>
        <v>1156.6794305745989</v>
      </c>
      <c r="I24" s="361">
        <f>SUM(I6:I17)</f>
        <v>272.24245477331402</v>
      </c>
      <c r="J24" s="361">
        <f t="shared" ref="J24:N24" si="50">SUM(J6:J17)</f>
        <v>493.10785408362494</v>
      </c>
      <c r="K24" s="361">
        <f t="shared" si="50"/>
        <v>888.34277058171006</v>
      </c>
      <c r="L24" s="361">
        <f t="shared" ref="L24" si="51">SUM(L6:L17)</f>
        <v>22.059041447949998</v>
      </c>
      <c r="M24" s="361">
        <f t="shared" ref="M24" si="52">SUM(M6:M17)</f>
        <v>45.821644548414994</v>
      </c>
      <c r="N24" s="361">
        <f t="shared" si="50"/>
        <v>2878.253196009613</v>
      </c>
      <c r="O24" s="360">
        <f>SUM(O6:O17)</f>
        <v>12662.524875741999</v>
      </c>
      <c r="P24" s="361">
        <f>SUM(P6:P17)</f>
        <v>2979.4115129239999</v>
      </c>
      <c r="Q24" s="361">
        <f t="shared" ref="Q24:U24" si="53">SUM(Q6:Q17)</f>
        <v>5395.9165278957889</v>
      </c>
      <c r="R24" s="361">
        <f t="shared" si="53"/>
        <v>9720.3815141681062</v>
      </c>
      <c r="S24" s="361">
        <f t="shared" ref="S24" si="54">SUM(S6:S17)</f>
        <v>241.39359461700002</v>
      </c>
      <c r="T24" s="361">
        <f t="shared" ref="T24" si="55">SUM(T6:T17)</f>
        <v>501.5060240630001</v>
      </c>
      <c r="U24" s="361">
        <f t="shared" si="53"/>
        <v>31501.134049409891</v>
      </c>
    </row>
    <row r="25" spans="1:25" ht="15" customHeight="1"/>
    <row r="26" spans="1:25" ht="26.1" customHeight="1">
      <c r="A26" s="422" t="s">
        <v>295</v>
      </c>
      <c r="B26" s="422"/>
      <c r="C26" s="422"/>
      <c r="D26" s="422"/>
      <c r="E26" s="422"/>
      <c r="F26" s="422"/>
      <c r="G26" s="422"/>
      <c r="H26" s="422"/>
      <c r="I26" s="422" t="s">
        <v>240</v>
      </c>
      <c r="J26" s="422"/>
      <c r="K26" s="422"/>
      <c r="L26" s="422"/>
      <c r="M26" s="422"/>
      <c r="N26" s="103"/>
      <c r="O26" s="103"/>
      <c r="P26" s="422" t="s">
        <v>241</v>
      </c>
      <c r="Q26" s="434"/>
      <c r="R26" s="434"/>
      <c r="S26" s="434"/>
      <c r="T26" s="434"/>
    </row>
    <row r="27" spans="1:25" ht="12" customHeight="1">
      <c r="A27" s="59"/>
      <c r="B27" s="61" t="str">
        <f>B5</f>
        <v>VO</v>
      </c>
      <c r="C27" s="61" t="str">
        <f t="shared" ref="C27:E27" si="56">C5</f>
        <v>SO</v>
      </c>
      <c r="D27" s="61" t="str">
        <f t="shared" si="56"/>
        <v>MO</v>
      </c>
      <c r="E27" s="61" t="str">
        <f t="shared" si="56"/>
        <v>DOM</v>
      </c>
      <c r="F27" s="61" t="str">
        <f>F5</f>
        <v>CNG</v>
      </c>
      <c r="G27" s="340"/>
      <c r="H27" s="63"/>
      <c r="I27" s="61" t="str">
        <f>H5</f>
        <v>VO</v>
      </c>
      <c r="J27" s="61" t="str">
        <f t="shared" ref="J27" si="57">I5</f>
        <v>SO</v>
      </c>
      <c r="K27" s="61" t="str">
        <f>J5</f>
        <v>MO</v>
      </c>
      <c r="L27" s="61" t="str">
        <f t="shared" ref="L27:M27" si="58">K5</f>
        <v>DOM</v>
      </c>
      <c r="M27" s="61" t="str">
        <f t="shared" si="58"/>
        <v>CNG</v>
      </c>
      <c r="N27" s="62"/>
      <c r="O27" s="64"/>
      <c r="P27" s="61" t="str">
        <f>O5</f>
        <v>VO</v>
      </c>
      <c r="Q27" s="61" t="str">
        <f t="shared" ref="Q27:T27" si="59">P5</f>
        <v>SO</v>
      </c>
      <c r="R27" s="61" t="str">
        <f t="shared" si="59"/>
        <v>MO</v>
      </c>
      <c r="S27" s="61" t="str">
        <f t="shared" si="59"/>
        <v>DOM</v>
      </c>
      <c r="T27" s="61" t="str">
        <f t="shared" si="59"/>
        <v>CNG</v>
      </c>
      <c r="U27" s="52"/>
    </row>
    <row r="28" spans="1:25" ht="12" customHeight="1">
      <c r="B28" s="65">
        <f>B18</f>
        <v>1502</v>
      </c>
      <c r="C28" s="65">
        <f>C18</f>
        <v>5409</v>
      </c>
      <c r="D28" s="65">
        <f>D18</f>
        <v>200714</v>
      </c>
      <c r="E28" s="65">
        <f>E18</f>
        <v>2487318</v>
      </c>
      <c r="F28" s="65">
        <f>F18</f>
        <v>280</v>
      </c>
      <c r="G28" s="341"/>
      <c r="H28" s="64" t="str">
        <f>A18</f>
        <v>I. čtvrtletí</v>
      </c>
      <c r="I28" s="66">
        <f>H18</f>
        <v>1156.6794305745989</v>
      </c>
      <c r="J28" s="66">
        <f t="shared" ref="J28:M28" si="60">I18</f>
        <v>272.24245477331402</v>
      </c>
      <c r="K28" s="66">
        <f t="shared" si="60"/>
        <v>493.10785408362494</v>
      </c>
      <c r="L28" s="66">
        <f t="shared" si="60"/>
        <v>888.34277058171006</v>
      </c>
      <c r="M28" s="66">
        <f t="shared" si="60"/>
        <v>22.059041447949998</v>
      </c>
      <c r="N28" s="53"/>
      <c r="O28" s="63" t="str">
        <f>A18</f>
        <v>I. čtvrtletí</v>
      </c>
      <c r="P28" s="65">
        <f>O18</f>
        <v>12662.524875741999</v>
      </c>
      <c r="Q28" s="65">
        <f t="shared" ref="Q28:T28" si="61">P18</f>
        <v>2979.4115129239999</v>
      </c>
      <c r="R28" s="65">
        <f t="shared" si="61"/>
        <v>5395.9165278957889</v>
      </c>
      <c r="S28" s="65">
        <f t="shared" si="61"/>
        <v>9720.3815141681062</v>
      </c>
      <c r="T28" s="65">
        <f t="shared" si="61"/>
        <v>241.39359461700002</v>
      </c>
      <c r="U28" s="55"/>
    </row>
    <row r="29" spans="1:25" ht="12" customHeight="1">
      <c r="B29" s="344"/>
      <c r="C29" s="344"/>
      <c r="D29" s="344"/>
      <c r="E29" s="341"/>
      <c r="F29" s="341"/>
      <c r="G29" s="341"/>
      <c r="H29" s="64" t="str">
        <f t="shared" ref="H29:H31" si="62">A19</f>
        <v>II. čtvrtletí</v>
      </c>
      <c r="I29" s="66">
        <f t="shared" ref="I29:M29" si="63">H19</f>
        <v>0</v>
      </c>
      <c r="J29" s="66">
        <f t="shared" si="63"/>
        <v>0</v>
      </c>
      <c r="K29" s="66">
        <f t="shared" si="63"/>
        <v>0</v>
      </c>
      <c r="L29" s="66">
        <f t="shared" si="63"/>
        <v>0</v>
      </c>
      <c r="M29" s="66">
        <f t="shared" si="63"/>
        <v>0</v>
      </c>
      <c r="N29" s="53"/>
      <c r="O29" s="63" t="str">
        <f t="shared" ref="O29:O31" si="64">A19</f>
        <v>II. čtvrtletí</v>
      </c>
      <c r="P29" s="65">
        <f t="shared" ref="P29:T29" si="65">O19</f>
        <v>0</v>
      </c>
      <c r="Q29" s="65">
        <f t="shared" si="65"/>
        <v>0</v>
      </c>
      <c r="R29" s="65">
        <f t="shared" si="65"/>
        <v>0</v>
      </c>
      <c r="S29" s="65">
        <f t="shared" si="65"/>
        <v>0</v>
      </c>
      <c r="T29" s="65">
        <f t="shared" si="65"/>
        <v>0</v>
      </c>
      <c r="U29" s="55"/>
    </row>
    <row r="30" spans="1:25" ht="12" customHeight="1">
      <c r="B30" s="53"/>
      <c r="C30" s="53"/>
      <c r="D30" s="53"/>
      <c r="E30" s="54"/>
      <c r="F30" s="54"/>
      <c r="G30" s="54"/>
      <c r="H30" s="64" t="str">
        <f t="shared" si="62"/>
        <v>III. čtvrtletí</v>
      </c>
      <c r="I30" s="66">
        <f t="shared" ref="I30:M30" si="66">H20</f>
        <v>0</v>
      </c>
      <c r="J30" s="66">
        <f t="shared" si="66"/>
        <v>0</v>
      </c>
      <c r="K30" s="66">
        <f t="shared" si="66"/>
        <v>0</v>
      </c>
      <c r="L30" s="66">
        <f t="shared" si="66"/>
        <v>0</v>
      </c>
      <c r="M30" s="66">
        <f t="shared" si="66"/>
        <v>0</v>
      </c>
      <c r="N30" s="53"/>
      <c r="O30" s="63" t="str">
        <f t="shared" si="64"/>
        <v>III. čtvrtletí</v>
      </c>
      <c r="P30" s="65">
        <f t="shared" ref="P30:T30" si="67">O20</f>
        <v>0</v>
      </c>
      <c r="Q30" s="65">
        <f t="shared" si="67"/>
        <v>0</v>
      </c>
      <c r="R30" s="65">
        <f t="shared" si="67"/>
        <v>0</v>
      </c>
      <c r="S30" s="65">
        <f t="shared" si="67"/>
        <v>0</v>
      </c>
      <c r="T30" s="65">
        <f t="shared" si="67"/>
        <v>0</v>
      </c>
      <c r="U30" s="55"/>
    </row>
    <row r="31" spans="1:25" ht="12" customHeight="1">
      <c r="B31" s="53"/>
      <c r="C31" s="53"/>
      <c r="D31" s="53"/>
      <c r="E31" s="54"/>
      <c r="F31" s="54"/>
      <c r="G31" s="54"/>
      <c r="H31" s="64" t="str">
        <f t="shared" si="62"/>
        <v>IV. čtvrtletí</v>
      </c>
      <c r="I31" s="66">
        <f t="shared" ref="I31:M31" si="68">H21</f>
        <v>0</v>
      </c>
      <c r="J31" s="66">
        <f t="shared" si="68"/>
        <v>0</v>
      </c>
      <c r="K31" s="66">
        <f t="shared" si="68"/>
        <v>0</v>
      </c>
      <c r="L31" s="66">
        <f t="shared" si="68"/>
        <v>0</v>
      </c>
      <c r="M31" s="66">
        <f t="shared" si="68"/>
        <v>0</v>
      </c>
      <c r="N31" s="53"/>
      <c r="O31" s="63" t="str">
        <f t="shared" si="64"/>
        <v>IV. čtvrtletí</v>
      </c>
      <c r="P31" s="65">
        <f t="shared" ref="P31:T31" si="69">O21</f>
        <v>0</v>
      </c>
      <c r="Q31" s="65">
        <f t="shared" si="69"/>
        <v>0</v>
      </c>
      <c r="R31" s="65">
        <f t="shared" si="69"/>
        <v>0</v>
      </c>
      <c r="S31" s="65">
        <f t="shared" si="69"/>
        <v>0</v>
      </c>
      <c r="T31" s="65">
        <f t="shared" si="69"/>
        <v>0</v>
      </c>
      <c r="U31" s="55"/>
    </row>
    <row r="32" spans="1:25" ht="12" customHeight="1">
      <c r="E32" s="55"/>
      <c r="F32" s="55"/>
      <c r="G32" s="55"/>
      <c r="H32" s="55"/>
      <c r="I32" s="55"/>
      <c r="Q32" s="55"/>
      <c r="R32" s="55"/>
      <c r="S32" s="55"/>
      <c r="T32" s="55"/>
      <c r="U32" s="55"/>
    </row>
    <row r="33" spans="4:21" ht="12" customHeight="1">
      <c r="D33" s="438"/>
      <c r="E33" s="55"/>
      <c r="F33" s="55"/>
      <c r="G33" s="55"/>
      <c r="H33" s="55"/>
      <c r="I33" s="55"/>
      <c r="Q33" s="55"/>
      <c r="R33" s="55"/>
      <c r="S33" s="55"/>
      <c r="T33" s="55"/>
      <c r="U33" s="55"/>
    </row>
    <row r="34" spans="4:21" ht="12" customHeight="1">
      <c r="D34" s="438"/>
      <c r="E34" s="55"/>
      <c r="F34" s="55"/>
      <c r="G34" s="55"/>
      <c r="H34" s="55"/>
      <c r="I34" s="55"/>
      <c r="Q34" s="55"/>
      <c r="R34" s="55"/>
      <c r="S34" s="55"/>
      <c r="T34" s="55"/>
      <c r="U34" s="55"/>
    </row>
    <row r="35" spans="4:21" ht="12" customHeight="1">
      <c r="E35" s="55"/>
      <c r="F35" s="55"/>
      <c r="G35" s="55"/>
      <c r="H35" s="55"/>
      <c r="I35" s="55"/>
      <c r="Q35" s="55"/>
      <c r="R35" s="55"/>
      <c r="S35" s="55"/>
      <c r="T35" s="55"/>
      <c r="U35" s="55"/>
    </row>
    <row r="36" spans="4:21" ht="12" customHeight="1">
      <c r="E36" s="55"/>
      <c r="F36" s="55"/>
      <c r="G36" s="55"/>
      <c r="H36" s="55"/>
      <c r="I36" s="55"/>
      <c r="Q36" s="55"/>
      <c r="R36" s="55"/>
      <c r="S36" s="55"/>
      <c r="T36" s="55"/>
      <c r="U36" s="55"/>
    </row>
    <row r="37" spans="4:21" ht="12" customHeight="1">
      <c r="E37" s="55"/>
      <c r="F37" s="55"/>
      <c r="G37" s="55"/>
      <c r="H37" s="55"/>
      <c r="I37" s="55"/>
      <c r="Q37" s="55"/>
      <c r="R37" s="55"/>
      <c r="S37" s="55"/>
      <c r="T37" s="55"/>
      <c r="U37" s="55"/>
    </row>
    <row r="38" spans="4:21" ht="12" customHeight="1">
      <c r="E38" s="55"/>
      <c r="F38" s="55"/>
      <c r="G38" s="55"/>
      <c r="H38" s="55"/>
      <c r="I38" s="55"/>
      <c r="Q38" s="55"/>
      <c r="R38" s="55"/>
      <c r="S38" s="55"/>
      <c r="T38" s="55"/>
      <c r="U38" s="55"/>
    </row>
    <row r="39" spans="4:21" ht="12" customHeight="1">
      <c r="E39" s="55"/>
      <c r="F39" s="55"/>
      <c r="G39" s="55"/>
      <c r="H39" s="55"/>
      <c r="I39" s="55"/>
      <c r="Q39" s="55"/>
      <c r="R39" s="55"/>
      <c r="S39" s="55"/>
      <c r="T39" s="55"/>
      <c r="U39" s="55"/>
    </row>
    <row r="40" spans="4:21" ht="12" customHeight="1"/>
    <row r="41" spans="4:21" ht="12" customHeight="1"/>
    <row r="42" spans="4:21" ht="12" customHeight="1"/>
    <row r="43" spans="4:21" ht="12" customHeight="1"/>
    <row r="44" spans="4:21" ht="12" customHeight="1"/>
  </sheetData>
  <mergeCells count="10">
    <mergeCell ref="D33:D34"/>
    <mergeCell ref="A1:U1"/>
    <mergeCell ref="B2:U2"/>
    <mergeCell ref="B3:G3"/>
    <mergeCell ref="H3:U3"/>
    <mergeCell ref="A26:H26"/>
    <mergeCell ref="I26:M26"/>
    <mergeCell ref="P26:T26"/>
    <mergeCell ref="M4:M5"/>
    <mergeCell ref="T4:T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18:U18 H21:U23 H19:I19 J19:U19 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9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'2'!Oblast_tisku</vt:lpstr>
      <vt:lpstr>'5.1'!Oblast_tisku</vt:lpstr>
      <vt:lpstr>Titulní!Oblast_tisku</vt:lpstr>
      <vt:lpstr>'2'!OLE_LINK42</vt:lpstr>
      <vt:lpstr>Úvod!OLE_LINK42</vt:lpstr>
      <vt:lpstr>'2'!OLE_LINK43</vt:lpstr>
      <vt:lpstr>Úvod!OLE_LINK43</vt:lpstr>
      <vt:lpstr>Úvod!OLE_LINK6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2026-05-19T08:19:21Z</cp:lastPrinted>
  <dcterms:created xsi:type="dcterms:W3CDTF">2010-02-15T08:19:53Z</dcterms:created>
  <dcterms:modified xsi:type="dcterms:W3CDTF">2026-05-19T08:19:53Z</dcterms:modified>
</cp:coreProperties>
</file>